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11640"/>
  </bookViews>
  <sheets>
    <sheet name="Standard Summary" sheetId="1" r:id="rId1"/>
    <sheet name="Small Business" sheetId="2" r:id="rId2"/>
  </sheets>
  <definedNames>
    <definedName name="_xlnm.Print_Area" localSheetId="0">'Standard Summary'!$A$1:$N$33</definedName>
    <definedName name="_xlnm.Print_Titles" localSheetId="0">'Standard Summary'!$A:$D</definedName>
  </definedNames>
  <calcPr calcId="145621"/>
</workbook>
</file>

<file path=xl/calcChain.xml><?xml version="1.0" encoding="utf-8"?>
<calcChain xmlns="http://schemas.openxmlformats.org/spreadsheetml/2006/main">
  <c r="G10" i="1" l="1"/>
  <c r="F10" i="1"/>
  <c r="E10" i="1"/>
  <c r="E25" i="1"/>
  <c r="G25" i="1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10" i="2"/>
  <c r="J15" i="2"/>
  <c r="K17" i="2"/>
  <c r="I32" i="2"/>
  <c r="H32" i="2"/>
  <c r="G32" i="2"/>
  <c r="F32" i="2"/>
  <c r="E32" i="2"/>
  <c r="I31" i="2"/>
  <c r="H31" i="2"/>
  <c r="G31" i="2"/>
  <c r="F31" i="2"/>
  <c r="E31" i="2"/>
  <c r="I30" i="2"/>
  <c r="H30" i="2"/>
  <c r="G30" i="2"/>
  <c r="F30" i="2"/>
  <c r="E30" i="2"/>
  <c r="I29" i="2"/>
  <c r="H29" i="2"/>
  <c r="G29" i="2"/>
  <c r="F29" i="2"/>
  <c r="E29" i="2"/>
  <c r="I28" i="2"/>
  <c r="H28" i="2"/>
  <c r="G28" i="2"/>
  <c r="F28" i="2"/>
  <c r="E28" i="2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K24" i="2"/>
  <c r="J24" i="2"/>
  <c r="I24" i="2"/>
  <c r="H24" i="2"/>
  <c r="G24" i="2"/>
  <c r="F24" i="2"/>
  <c r="E24" i="2"/>
  <c r="K23" i="2"/>
  <c r="J23" i="2"/>
  <c r="I23" i="2"/>
  <c r="H23" i="2"/>
  <c r="G23" i="2"/>
  <c r="F23" i="2"/>
  <c r="E23" i="2"/>
  <c r="I10" i="2"/>
  <c r="J9" i="2"/>
  <c r="K15" i="2"/>
  <c r="K16" i="2"/>
  <c r="K14" i="2"/>
  <c r="K8" i="2"/>
  <c r="J8" i="2"/>
  <c r="K7" i="2"/>
  <c r="J10" i="2"/>
  <c r="G7" i="2"/>
  <c r="F7" i="2"/>
  <c r="E7" i="2"/>
  <c r="H10" i="2"/>
  <c r="J14" i="2"/>
  <c r="I14" i="2"/>
  <c r="F15" i="2"/>
  <c r="K20" i="2"/>
  <c r="J20" i="2"/>
  <c r="I20" i="2"/>
  <c r="H20" i="2"/>
  <c r="G20" i="2"/>
  <c r="F20" i="2"/>
  <c r="E20" i="2"/>
  <c r="K19" i="2"/>
  <c r="J19" i="2"/>
  <c r="I19" i="2"/>
  <c r="H19" i="2"/>
  <c r="G19" i="2"/>
  <c r="F19" i="2"/>
  <c r="E19" i="2"/>
  <c r="K18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I15" i="2"/>
  <c r="H15" i="2"/>
  <c r="G15" i="2"/>
  <c r="E15" i="2"/>
  <c r="H14" i="2"/>
  <c r="G14" i="2"/>
  <c r="F14" i="2"/>
  <c r="E14" i="2"/>
  <c r="K13" i="2"/>
  <c r="J13" i="2"/>
  <c r="I13" i="2"/>
  <c r="H13" i="2"/>
  <c r="G13" i="2"/>
  <c r="F13" i="2"/>
  <c r="E13" i="2"/>
  <c r="K12" i="2"/>
  <c r="J12" i="2"/>
  <c r="I12" i="2"/>
  <c r="H12" i="2"/>
  <c r="G12" i="2"/>
  <c r="F12" i="2"/>
  <c r="E12" i="2"/>
  <c r="K11" i="2"/>
  <c r="J11" i="2"/>
  <c r="I11" i="2"/>
  <c r="H11" i="2"/>
  <c r="G11" i="2"/>
  <c r="F11" i="2"/>
  <c r="E11" i="2"/>
  <c r="G10" i="2"/>
  <c r="F10" i="2"/>
  <c r="E10" i="2"/>
  <c r="K9" i="2"/>
  <c r="I9" i="2"/>
  <c r="H9" i="2"/>
  <c r="G9" i="2"/>
  <c r="F9" i="2"/>
  <c r="E9" i="2"/>
  <c r="I8" i="2"/>
  <c r="H8" i="2"/>
  <c r="G8" i="2"/>
  <c r="F8" i="2"/>
  <c r="E8" i="2"/>
  <c r="J7" i="2"/>
  <c r="I7" i="2"/>
  <c r="H7" i="2"/>
  <c r="C34" i="2"/>
  <c r="D19" i="2" s="1"/>
  <c r="D25" i="2" l="1"/>
  <c r="D11" i="2"/>
  <c r="D28" i="2"/>
  <c r="D20" i="2"/>
  <c r="D31" i="2"/>
  <c r="D8" i="2"/>
  <c r="D17" i="2"/>
  <c r="D24" i="2"/>
  <c r="D27" i="2"/>
  <c r="D30" i="2"/>
  <c r="D14" i="2"/>
  <c r="D23" i="2"/>
  <c r="D26" i="2"/>
  <c r="D29" i="2"/>
  <c r="D32" i="2"/>
  <c r="D9" i="2"/>
  <c r="D12" i="2"/>
  <c r="D15" i="2"/>
  <c r="D18" i="2"/>
  <c r="D7" i="2"/>
  <c r="D10" i="2"/>
  <c r="D13" i="2"/>
  <c r="D16" i="2"/>
  <c r="D34" i="2" l="1"/>
  <c r="I31" i="1" l="1"/>
  <c r="I19" i="1"/>
  <c r="F32" i="1" l="1"/>
  <c r="F31" i="1"/>
  <c r="F30" i="1"/>
  <c r="F29" i="1"/>
  <c r="F27" i="1"/>
  <c r="F26" i="1"/>
  <c r="F23" i="1"/>
  <c r="F20" i="1" l="1"/>
  <c r="F19" i="1"/>
  <c r="F18" i="1"/>
  <c r="F17" i="1"/>
  <c r="F14" i="1"/>
  <c r="F13" i="1"/>
  <c r="F8" i="1"/>
  <c r="C34" i="1" l="1"/>
  <c r="E16" i="1"/>
  <c r="G16" i="1"/>
  <c r="N28" i="1" l="1"/>
  <c r="K28" i="1"/>
  <c r="L27" i="1"/>
  <c r="M26" i="1"/>
  <c r="N25" i="1"/>
  <c r="K25" i="1"/>
  <c r="L24" i="1"/>
  <c r="M23" i="1"/>
  <c r="N32" i="1"/>
  <c r="K32" i="1"/>
  <c r="L31" i="1"/>
  <c r="K30" i="1"/>
  <c r="L29" i="1"/>
  <c r="M20" i="1"/>
  <c r="M19" i="1"/>
  <c r="M18" i="1"/>
  <c r="M17" i="1"/>
  <c r="N16" i="1"/>
  <c r="K16" i="1"/>
  <c r="L15" i="1"/>
  <c r="M14" i="1"/>
  <c r="N13" i="1"/>
  <c r="K13" i="1"/>
  <c r="L12" i="1"/>
  <c r="M11" i="1"/>
  <c r="N10" i="1"/>
  <c r="K10" i="1"/>
  <c r="L9" i="1"/>
  <c r="M8" i="1"/>
  <c r="N7" i="1"/>
  <c r="K7" i="1"/>
  <c r="M28" i="1"/>
  <c r="N27" i="1"/>
  <c r="K27" i="1"/>
  <c r="L26" i="1"/>
  <c r="M25" i="1"/>
  <c r="N24" i="1"/>
  <c r="L23" i="1"/>
  <c r="M32" i="1"/>
  <c r="N31" i="1"/>
  <c r="K31" i="1"/>
  <c r="N29" i="1"/>
  <c r="K29" i="1"/>
  <c r="L20" i="1"/>
  <c r="L19" i="1"/>
  <c r="K18" i="1"/>
  <c r="L17" i="1"/>
  <c r="M16" i="1"/>
  <c r="N15" i="1"/>
  <c r="K15" i="1"/>
  <c r="L14" i="1"/>
  <c r="M13" i="1"/>
  <c r="N12" i="1"/>
  <c r="K12" i="1"/>
  <c r="L11" i="1"/>
  <c r="M10" i="1"/>
  <c r="N9" i="1"/>
  <c r="K9" i="1"/>
  <c r="L8" i="1"/>
  <c r="M7" i="1"/>
  <c r="K20" i="1"/>
  <c r="L28" i="1"/>
  <c r="M27" i="1"/>
  <c r="N26" i="1"/>
  <c r="K26" i="1"/>
  <c r="L25" i="1"/>
  <c r="M24" i="1"/>
  <c r="N23" i="1"/>
  <c r="K23" i="1"/>
  <c r="M31" i="1"/>
  <c r="M30" i="1"/>
  <c r="M29" i="1"/>
  <c r="N20" i="1"/>
  <c r="K19" i="1"/>
  <c r="N17" i="1"/>
  <c r="L16" i="1"/>
  <c r="M15" i="1"/>
  <c r="K14" i="1"/>
  <c r="L13" i="1"/>
  <c r="N11" i="1"/>
  <c r="L10" i="1"/>
  <c r="M9" i="1"/>
  <c r="K8" i="1"/>
  <c r="K24" i="1"/>
  <c r="L32" i="1"/>
  <c r="N19" i="1"/>
  <c r="K17" i="1"/>
  <c r="N14" i="1"/>
  <c r="M12" i="1"/>
  <c r="K11" i="1"/>
  <c r="N8" i="1"/>
  <c r="L7" i="1"/>
  <c r="I28" i="1"/>
  <c r="I32" i="1"/>
  <c r="J29" i="1"/>
  <c r="J25" i="1"/>
  <c r="J23" i="1"/>
  <c r="J18" i="1"/>
  <c r="J16" i="1"/>
  <c r="I14" i="1"/>
  <c r="J12" i="1"/>
  <c r="J10" i="1"/>
  <c r="J8" i="1"/>
  <c r="I12" i="1"/>
  <c r="I8" i="1"/>
  <c r="I27" i="1"/>
  <c r="J30" i="1"/>
  <c r="J17" i="1"/>
  <c r="J15" i="1"/>
  <c r="J11" i="1"/>
  <c r="J7" i="1"/>
  <c r="J32" i="1"/>
  <c r="I26" i="1"/>
  <c r="I20" i="1"/>
  <c r="I15" i="1"/>
  <c r="I9" i="1"/>
  <c r="J27" i="1"/>
  <c r="I29" i="1"/>
  <c r="I25" i="1"/>
  <c r="I23" i="1"/>
  <c r="I18" i="1"/>
  <c r="I16" i="1"/>
  <c r="J14" i="1"/>
  <c r="I10" i="1"/>
  <c r="J26" i="1"/>
  <c r="J24" i="1"/>
  <c r="J20" i="1"/>
  <c r="J13" i="1"/>
  <c r="J9" i="1"/>
  <c r="J28" i="1"/>
  <c r="I30" i="1"/>
  <c r="I24" i="1"/>
  <c r="I17" i="1"/>
  <c r="I13" i="1"/>
  <c r="I11" i="1"/>
  <c r="I7" i="1"/>
  <c r="G15" i="1"/>
  <c r="G24" i="1"/>
  <c r="E15" i="1"/>
  <c r="F24" i="1"/>
  <c r="G28" i="1"/>
  <c r="F28" i="1"/>
  <c r="F25" i="1"/>
  <c r="E24" i="1"/>
  <c r="E28" i="1"/>
  <c r="F15" i="1"/>
  <c r="G9" i="1"/>
  <c r="F9" i="1"/>
  <c r="E12" i="1"/>
  <c r="E11" i="1"/>
  <c r="G11" i="1"/>
  <c r="E7" i="1"/>
  <c r="D7" i="1" l="1"/>
  <c r="E9" i="1"/>
  <c r="D20" i="1"/>
  <c r="D12" i="1"/>
  <c r="D17" i="1"/>
  <c r="D9" i="1"/>
  <c r="D15" i="1"/>
  <c r="D19" i="1"/>
  <c r="D16" i="1"/>
  <c r="D14" i="1"/>
  <c r="D11" i="1"/>
  <c r="D8" i="1"/>
  <c r="D18" i="1"/>
  <c r="D13" i="1"/>
  <c r="D10" i="1"/>
  <c r="D29" i="1" l="1"/>
  <c r="D26" i="1"/>
  <c r="D30" i="1"/>
  <c r="D31" i="1"/>
  <c r="D23" i="1"/>
  <c r="D25" i="1"/>
  <c r="D32" i="1"/>
  <c r="D28" i="1"/>
  <c r="D24" i="1"/>
  <c r="D27" i="1"/>
  <c r="D34" i="1" l="1"/>
</calcChain>
</file>

<file path=xl/sharedStrings.xml><?xml version="1.0" encoding="utf-8"?>
<sst xmlns="http://schemas.openxmlformats.org/spreadsheetml/2006/main" count="197" uniqueCount="57">
  <si>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</si>
  <si>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</si>
  <si>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</si>
  <si>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</si>
  <si>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</si>
  <si>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</si>
  <si>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</si>
  <si>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</si>
  <si>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</si>
  <si>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Q1</t>
  </si>
  <si>
    <t>Q2</t>
  </si>
  <si>
    <t>Q3</t>
  </si>
  <si>
    <t>Q4</t>
  </si>
  <si>
    <t>D310</t>
  </si>
  <si>
    <t>% Total Obligations</t>
  </si>
  <si>
    <t>N/A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</si>
  <si>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</si>
  <si>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</si>
  <si>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</si>
  <si>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</si>
  <si>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</si>
  <si>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</si>
  <si>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</si>
  <si>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</si>
  <si>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</si>
  <si>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Time of Obligation Analysis</t>
  </si>
  <si>
    <t>(as % of PSC obligations)</t>
  </si>
  <si>
    <t>United States Department of Agriculture (USDA): Service Contract Inventory Summary Report 2014</t>
  </si>
  <si>
    <t>B505</t>
  </si>
  <si>
    <t>SPECIAL STUDIES/ANALYSIS - COST BENEFITS</t>
  </si>
  <si>
    <t>B599</t>
  </si>
  <si>
    <t>SPECIAL STUDIES/ANALYSIS - OTHER</t>
  </si>
  <si>
    <t>D302</t>
  </si>
  <si>
    <t>IT AND TELECOM - SYSTEMS DEVELOPMENT</t>
  </si>
  <si>
    <t>D307</t>
  </si>
  <si>
    <t>IT AND TELECOM - IT STRATEGY AND ARCHITECTURE</t>
  </si>
  <si>
    <t>IT AND TELECOM - CYBER SECURITY AND DATA BACKUP</t>
  </si>
  <si>
    <t>D314</t>
  </si>
  <si>
    <t>IT AND TELECOM - SYSTEMS ACQUISITION SUPPORT</t>
  </si>
  <si>
    <t>D399</t>
  </si>
  <si>
    <t>IT AND TELECOM - OTHER IT AND TELECOMMUINCATIONS</t>
  </si>
  <si>
    <t>F003</t>
  </si>
  <si>
    <t>NATURAL RESOURCES/CONVERSATION - FOREST RANGE FIRE SUPPRESSION/PRESUPPRESSION</t>
  </si>
  <si>
    <t>R408</t>
  </si>
  <si>
    <t>SUPPORT - PROFESSIONAL: PROGRAM MANAGEMENT/SUPPORT</t>
  </si>
  <si>
    <t>SUPPORT - PROFESSIONAL: ENGNERRING/TECHNICAL</t>
  </si>
  <si>
    <t>R425</t>
  </si>
  <si>
    <t>R499</t>
  </si>
  <si>
    <t>SUPPORT - PROFESSIONAL: OTHER</t>
  </si>
  <si>
    <t>S119</t>
  </si>
  <si>
    <t>UTILITIES - OTHER</t>
  </si>
  <si>
    <t>V221</t>
  </si>
  <si>
    <t>TRANSPORTATION/TRAVEL/RELOCATION -TRAVEL/LODGING/RECURITMENT: PASSENGER AIR CHARTER</t>
  </si>
  <si>
    <t>Y1LB</t>
  </si>
  <si>
    <t>CONSTRUCTION OF HIGHWAY, ROADS, STREETS, BRIDGES AND RAILWAYS</t>
  </si>
  <si>
    <t>Total Obligations</t>
  </si>
  <si>
    <t>Special Interest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</si>
</sst>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%"/>
    <numFmt numFmtId="166" formatCode="&quot;$&quot;#,##0;[Red]&quot;$&quot;#,##0"/>
    <numFmt numFmtId="167" formatCode="&quot;$&quot;#,##0.00;[Red]&quot;$&quot;#,##0.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15" xfId="0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9" fontId="3" fillId="2" borderId="3" xfId="1" applyFont="1" applyFill="1" applyBorder="1"/>
    <xf numFmtId="0" fontId="4" fillId="0" borderId="0" xfId="0" applyFont="1" applyFill="1" applyAlignment="1">
      <alignment horizontal="left"/>
    </xf>
    <xf numFmtId="0" fontId="4" fillId="0" borderId="21" xfId="0" applyFont="1" applyFill="1" applyBorder="1" applyAlignment="1">
      <alignment horizontal="left"/>
    </xf>
    <xf numFmtId="10" fontId="3" fillId="0" borderId="21" xfId="1" applyNumberFormat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10" fontId="3" fillId="0" borderId="13" xfId="1" applyNumberFormat="1" applyFont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10" xfId="0" applyFont="1" applyFill="1" applyBorder="1"/>
    <xf numFmtId="164" fontId="3" fillId="2" borderId="12" xfId="0" applyNumberFormat="1" applyFont="1" applyFill="1" applyBorder="1"/>
    <xf numFmtId="9" fontId="3" fillId="2" borderId="5" xfId="1" applyFont="1" applyFill="1" applyBorder="1"/>
    <xf numFmtId="9" fontId="3" fillId="2" borderId="6" xfId="1" applyFont="1" applyFill="1" applyBorder="1"/>
    <xf numFmtId="9" fontId="3" fillId="2" borderId="8" xfId="1" applyFont="1" applyFill="1" applyBorder="1"/>
    <xf numFmtId="9" fontId="3" fillId="2" borderId="9" xfId="1" applyFont="1" applyFill="1" applyBorder="1"/>
    <xf numFmtId="9" fontId="3" fillId="2" borderId="10" xfId="1" applyFont="1" applyFill="1" applyBorder="1"/>
    <xf numFmtId="164" fontId="3" fillId="0" borderId="9" xfId="0" applyNumberFormat="1" applyFont="1" applyFill="1" applyBorder="1" applyAlignment="1">
      <alignment horizontal="center"/>
    </xf>
    <xf numFmtId="9" fontId="2" fillId="0" borderId="9" xfId="1" applyFont="1" applyBorder="1" applyAlignment="1">
      <alignment horizontal="center" wrapText="1"/>
    </xf>
    <xf numFmtId="9" fontId="2" fillId="0" borderId="8" xfId="1" applyFont="1" applyFill="1" applyBorder="1" applyAlignment="1">
      <alignment horizontal="center" wrapText="1"/>
    </xf>
    <xf numFmtId="0" fontId="3" fillId="2" borderId="14" xfId="0" applyFont="1" applyFill="1" applyBorder="1"/>
    <xf numFmtId="9" fontId="3" fillId="2" borderId="4" xfId="1" applyFont="1" applyFill="1" applyBorder="1"/>
    <xf numFmtId="9" fontId="3" fillId="2" borderId="16" xfId="1" applyFont="1" applyFill="1" applyBorder="1"/>
    <xf numFmtId="9" fontId="3" fillId="2" borderId="14" xfId="1" applyFont="1" applyFill="1" applyBorder="1"/>
    <xf numFmtId="0" fontId="3" fillId="0" borderId="0" xfId="0" applyFont="1"/>
    <xf numFmtId="9" fontId="3" fillId="2" borderId="18" xfId="1" applyFont="1" applyFill="1" applyBorder="1"/>
    <xf numFmtId="166" fontId="4" fillId="0" borderId="21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4" fontId="3" fillId="2" borderId="24" xfId="0" applyNumberFormat="1" applyFont="1" applyFill="1" applyBorder="1"/>
    <xf numFmtId="9" fontId="3" fillId="0" borderId="13" xfId="1" applyNumberFormat="1" applyFont="1" applyBorder="1" applyAlignment="1">
      <alignment horizontal="center"/>
    </xf>
    <xf numFmtId="0" fontId="3" fillId="2" borderId="11" xfId="0" applyFont="1" applyFill="1" applyBorder="1"/>
    <xf numFmtId="164" fontId="3" fillId="0" borderId="26" xfId="0" applyNumberFormat="1" applyFont="1" applyFill="1" applyBorder="1" applyAlignment="1">
      <alignment horizontal="center"/>
    </xf>
    <xf numFmtId="9" fontId="3" fillId="2" borderId="27" xfId="1" applyFont="1" applyFill="1" applyBorder="1"/>
    <xf numFmtId="0" fontId="3" fillId="2" borderId="19" xfId="0" applyFont="1" applyFill="1" applyBorder="1"/>
    <xf numFmtId="9" fontId="2" fillId="0" borderId="9" xfId="1" applyFont="1" applyFill="1" applyBorder="1" applyAlignment="1">
      <alignment horizontal="center" wrapText="1"/>
    </xf>
    <xf numFmtId="9" fontId="3" fillId="2" borderId="26" xfId="1" applyFont="1" applyFill="1" applyBorder="1"/>
    <xf numFmtId="9" fontId="3" fillId="2" borderId="29" xfId="1" applyFont="1" applyFill="1" applyBorder="1"/>
    <xf numFmtId="9" fontId="2" fillId="0" borderId="21" xfId="1" applyFont="1" applyFill="1" applyBorder="1" applyAlignment="1">
      <alignment horizontal="center" wrapText="1"/>
    </xf>
    <xf numFmtId="9" fontId="3" fillId="2" borderId="30" xfId="1" applyFont="1" applyFill="1" applyBorder="1"/>
    <xf numFmtId="9" fontId="2" fillId="0" borderId="13" xfId="1" applyFont="1" applyFill="1" applyBorder="1" applyAlignment="1">
      <alignment horizontal="center" wrapText="1"/>
    </xf>
    <xf numFmtId="9" fontId="3" fillId="2" borderId="31" xfId="1" applyFont="1" applyFill="1" applyBorder="1"/>
    <xf numFmtId="9" fontId="3" fillId="2" borderId="25" xfId="1" applyFont="1" applyFill="1" applyBorder="1"/>
    <xf numFmtId="9" fontId="3" fillId="2" borderId="32" xfId="1" applyFont="1" applyFill="1" applyBorder="1"/>
    <xf numFmtId="9" fontId="2" fillId="0" borderId="30" xfId="1" applyFont="1" applyFill="1" applyBorder="1" applyAlignment="1">
      <alignment horizontal="center" wrapText="1"/>
    </xf>
    <xf numFmtId="9" fontId="3" fillId="2" borderId="22" xfId="1" applyFont="1" applyFill="1" applyBorder="1"/>
    <xf numFmtId="9" fontId="3" fillId="2" borderId="33" xfId="1" applyFont="1" applyFill="1" applyBorder="1"/>
    <xf numFmtId="9" fontId="2" fillId="0" borderId="21" xfId="1" applyFont="1" applyBorder="1" applyAlignment="1">
      <alignment horizontal="center" wrapText="1"/>
    </xf>
    <xf numFmtId="9" fontId="2" fillId="0" borderId="13" xfId="1" applyFont="1" applyBorder="1" applyAlignment="1">
      <alignment horizontal="center" wrapText="1"/>
    </xf>
    <xf numFmtId="9" fontId="3" fillId="2" borderId="28" xfId="1" applyFont="1" applyFill="1" applyBorder="1"/>
    <xf numFmtId="0" fontId="2" fillId="0" borderId="12" xfId="0" applyFont="1" applyBorder="1" applyAlignment="1">
      <alignment horizontal="center" wrapText="1"/>
    </xf>
    <xf numFmtId="164" fontId="3" fillId="2" borderId="1" xfId="0" applyNumberFormat="1" applyFont="1" applyFill="1" applyBorder="1"/>
    <xf numFmtId="0" fontId="2" fillId="0" borderId="21" xfId="0" applyFont="1" applyBorder="1" applyAlignment="1">
      <alignment horizontal="center" wrapText="1"/>
    </xf>
    <xf numFmtId="164" fontId="3" fillId="2" borderId="33" xfId="0" applyNumberFormat="1" applyFont="1" applyFill="1" applyBorder="1"/>
    <xf numFmtId="0" fontId="3" fillId="0" borderId="4" xfId="0" applyFont="1" applyBorder="1"/>
    <xf numFmtId="167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3" fillId="0" borderId="21" xfId="1" applyNumberFormat="1" applyFont="1" applyFill="1" applyBorder="1" applyAlignment="1">
      <alignment horizontal="center"/>
    </xf>
    <xf numFmtId="0" fontId="3" fillId="2" borderId="35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37" xfId="0" applyFont="1" applyFill="1" applyBorder="1"/>
    <xf numFmtId="0" fontId="2" fillId="0" borderId="7" xfId="0" applyFont="1" applyFill="1" applyBorder="1"/>
    <xf numFmtId="0" fontId="2" fillId="0" borderId="24" xfId="0" applyFont="1" applyFill="1" applyBorder="1"/>
    <xf numFmtId="164" fontId="3" fillId="2" borderId="30" xfId="0" applyNumberFormat="1" applyFont="1" applyFill="1" applyBorder="1"/>
    <xf numFmtId="166" fontId="4" fillId="0" borderId="27" xfId="0" applyNumberFormat="1" applyFont="1" applyFill="1" applyBorder="1" applyAlignment="1">
      <alignment horizontal="center"/>
    </xf>
    <xf numFmtId="164" fontId="3" fillId="2" borderId="34" xfId="0" applyNumberFormat="1" applyFont="1" applyFill="1" applyBorder="1"/>
    <xf numFmtId="9" fontId="3" fillId="2" borderId="38" xfId="1" applyFont="1" applyFill="1" applyBorder="1"/>
    <xf numFmtId="9" fontId="3" fillId="0" borderId="40" xfId="1" applyNumberFormat="1" applyFont="1" applyBorder="1" applyAlignment="1">
      <alignment horizontal="center"/>
    </xf>
    <xf numFmtId="10" fontId="3" fillId="0" borderId="36" xfId="0" applyNumberFormat="1" applyFont="1" applyFill="1" applyBorder="1" applyAlignment="1">
      <alignment horizontal="center"/>
    </xf>
    <xf numFmtId="164" fontId="3" fillId="2" borderId="39" xfId="0" applyNumberFormat="1" applyFont="1" applyFill="1" applyBorder="1"/>
    <xf numFmtId="164" fontId="3" fillId="2" borderId="41" xfId="0" applyNumberFormat="1" applyFont="1" applyFill="1" applyBorder="1"/>
    <xf numFmtId="166" fontId="4" fillId="0" borderId="36" xfId="0" applyNumberFormat="1" applyFont="1" applyFill="1" applyBorder="1" applyAlignment="1">
      <alignment horizontal="center"/>
    </xf>
    <xf numFmtId="10" fontId="3" fillId="0" borderId="4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 applyAlignment="1">
      <alignment horizontal="center"/>
    </xf>
    <xf numFmtId="10" fontId="3" fillId="0" borderId="36" xfId="1" applyNumberFormat="1" applyFont="1" applyBorder="1" applyAlignment="1">
      <alignment horizontal="center"/>
    </xf>
    <xf numFmtId="9" fontId="3" fillId="2" borderId="42" xfId="1" applyFont="1" applyFill="1" applyBorder="1"/>
    <xf numFmtId="9" fontId="3" fillId="2" borderId="43" xfId="1" applyFont="1" applyFill="1" applyBorder="1"/>
    <xf numFmtId="9" fontId="3" fillId="0" borderId="9" xfId="1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10" fontId="3" fillId="0" borderId="9" xfId="1" applyNumberFormat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10" fontId="3" fillId="0" borderId="13" xfId="1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0" fillId="0" borderId="0" xfId="0" applyAlignment="1"/>
    <xf numFmtId="0" fontId="5" fillId="2" borderId="1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selection activeCell="B36" sqref="B36"/>
    </sheetView>
  </sheetViews>
  <sheetFormatPr defaultRowHeight="12.75" x14ac:dyDescent="0.2"/>
  <cols>
    <col min="1" max="1" width="21" customWidth="1"/>
    <col min="2" max="2" width="78.28515625" customWidth="1"/>
    <col min="3" max="3" width="16.42578125" bestFit="1" customWidth="1"/>
    <col min="4" max="4" width="10.28515625" customWidth="1"/>
    <col min="5" max="5" width="15.42578125" bestFit="1" customWidth="1"/>
    <col min="6" max="6" width="9.28515625" customWidth="1"/>
    <col min="7" max="7" width="11" bestFit="1" customWidth="1"/>
    <col min="8" max="8" width="9.85546875" customWidth="1"/>
    <col min="9" max="9" width="11.85546875" customWidth="1"/>
    <col min="10" max="10" width="11.7109375" customWidth="1"/>
  </cols>
  <sheetData>
    <row r="1" spans="1:18" ht="16.5" thickBo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7"/>
      <c r="P1" s="97"/>
      <c r="Q1" s="97"/>
      <c r="R1" s="97"/>
    </row>
    <row r="2" spans="1:18" ht="13.5" thickBot="1" x14ac:dyDescent="0.25">
      <c r="A2" s="98"/>
      <c r="B2" s="99"/>
      <c r="C2" s="100"/>
      <c r="D2" s="100"/>
      <c r="E2" s="102" t="s">
        <v>0</v>
      </c>
      <c r="F2" s="103"/>
      <c r="G2" s="103"/>
      <c r="H2" s="104"/>
      <c r="I2" s="105" t="s">
        <v>1</v>
      </c>
      <c r="J2" s="103"/>
      <c r="K2" s="102" t="s">
        <v>25</v>
      </c>
      <c r="L2" s="103"/>
      <c r="M2" s="103"/>
      <c r="N2" s="104"/>
    </row>
    <row r="3" spans="1:18" ht="13.5" thickBot="1" x14ac:dyDescent="0.25">
      <c r="A3" s="98"/>
      <c r="B3" s="99"/>
      <c r="C3" s="101"/>
      <c r="D3" s="101"/>
      <c r="E3" s="106" t="s">
        <v>26</v>
      </c>
      <c r="F3" s="107"/>
      <c r="G3" s="107"/>
      <c r="H3" s="108"/>
      <c r="I3" s="109" t="s">
        <v>26</v>
      </c>
      <c r="J3" s="107"/>
      <c r="K3" s="106" t="s">
        <v>26</v>
      </c>
      <c r="L3" s="107"/>
      <c r="M3" s="107"/>
      <c r="N3" s="108"/>
    </row>
    <row r="4" spans="1:18" ht="23.25" thickBot="1" x14ac:dyDescent="0.25">
      <c r="A4" s="91"/>
      <c r="B4" s="92"/>
      <c r="C4" s="60" t="s">
        <v>2</v>
      </c>
      <c r="D4" s="58" t="s">
        <v>14</v>
      </c>
      <c r="E4" s="55" t="s">
        <v>3</v>
      </c>
      <c r="F4" s="56" t="s">
        <v>4</v>
      </c>
      <c r="G4" s="55" t="s">
        <v>5</v>
      </c>
      <c r="H4" s="56" t="s">
        <v>6</v>
      </c>
      <c r="I4" s="55" t="s">
        <v>7</v>
      </c>
      <c r="J4" s="27" t="s">
        <v>8</v>
      </c>
      <c r="K4" s="52" t="s">
        <v>9</v>
      </c>
      <c r="L4" s="48" t="s">
        <v>10</v>
      </c>
      <c r="M4" s="52" t="s">
        <v>11</v>
      </c>
      <c r="N4" s="48" t="s">
        <v>12</v>
      </c>
    </row>
    <row r="5" spans="1:18" ht="13.5" thickBot="1" x14ac:dyDescent="0.25">
      <c r="A5" s="29"/>
      <c r="B5" s="42"/>
      <c r="C5" s="61"/>
      <c r="D5" s="59"/>
      <c r="E5" s="54"/>
      <c r="F5" s="57"/>
      <c r="G5" s="54"/>
      <c r="H5" s="57"/>
      <c r="I5" s="54"/>
      <c r="J5" s="31"/>
      <c r="K5" s="32"/>
      <c r="L5" s="51"/>
      <c r="M5" s="54"/>
      <c r="N5" s="53"/>
    </row>
    <row r="6" spans="1:18" x14ac:dyDescent="0.2">
      <c r="A6" s="4" t="s">
        <v>56</v>
      </c>
      <c r="B6" s="62"/>
      <c r="C6" s="41"/>
      <c r="D6" s="34"/>
      <c r="E6" s="5"/>
      <c r="F6" s="30"/>
      <c r="G6" s="34"/>
      <c r="H6" s="5"/>
      <c r="I6" s="5"/>
      <c r="J6" s="5"/>
      <c r="K6" s="5"/>
      <c r="L6" s="5"/>
      <c r="M6" s="5"/>
      <c r="N6" s="5"/>
    </row>
    <row r="7" spans="1:18" x14ac:dyDescent="0.2">
      <c r="A7" s="6" t="s">
        <v>28</v>
      </c>
      <c r="B7" s="7" t="s">
        <v>29</v>
      </c>
      <c r="C7" s="35">
        <v>1064796</v>
      </c>
      <c r="D7" s="11">
        <f t="shared" ref="D7:D20" si="0">C7/$C$34</f>
        <v>3.980015883799803E-4</v>
      </c>
      <c r="E7" s="66">
        <f>C7/$C$7</f>
        <v>1</v>
      </c>
      <c r="F7" s="86" t="s">
        <v>15</v>
      </c>
      <c r="G7" s="87" t="s">
        <v>15</v>
      </c>
      <c r="H7" s="9" t="s">
        <v>15</v>
      </c>
      <c r="I7" s="66">
        <f>2220529009/$C$34</f>
        <v>0.82999379470417201</v>
      </c>
      <c r="J7" s="66">
        <f>454769419/$C$34</f>
        <v>0.16998462720431029</v>
      </c>
      <c r="K7" s="66">
        <f>1295177822/$C$34</f>
        <v>0.48411416871449869</v>
      </c>
      <c r="L7" s="66">
        <f>395177822/$C$34</f>
        <v>0.14771036033995349</v>
      </c>
      <c r="M7" s="66">
        <f>295177822/$C$34</f>
        <v>0.11033215940944846</v>
      </c>
      <c r="N7" s="66">
        <f>689977822/$C$34</f>
        <v>0.25790129668308232</v>
      </c>
    </row>
    <row r="8" spans="1:18" x14ac:dyDescent="0.2">
      <c r="A8" s="12" t="s">
        <v>30</v>
      </c>
      <c r="B8" s="7" t="s">
        <v>31</v>
      </c>
      <c r="C8" s="35">
        <v>50393816.399999999</v>
      </c>
      <c r="D8" s="11">
        <f t="shared" si="0"/>
        <v>1.8836301950541794E-2</v>
      </c>
      <c r="E8" s="66" t="s">
        <v>15</v>
      </c>
      <c r="F8" s="66">
        <f>C8/$C$8</f>
        <v>1</v>
      </c>
      <c r="G8" s="86" t="s">
        <v>15</v>
      </c>
      <c r="H8" s="9" t="s">
        <v>15</v>
      </c>
      <c r="I8" s="66">
        <f>1976998077/$C$34</f>
        <v>0.73896631361328047</v>
      </c>
      <c r="J8" s="66">
        <f>698400738/$C$34</f>
        <v>0.26104963114976998</v>
      </c>
      <c r="K8" s="66">
        <f>468627693/$C$34</f>
        <v>0.17516460070553022</v>
      </c>
      <c r="L8" s="66">
        <f>553530282/$C$34</f>
        <v>0.2068996610171511</v>
      </c>
      <c r="M8" s="66">
        <f>1223108629/$C$34</f>
        <v>0.45717600094596522</v>
      </c>
      <c r="N8" s="90">
        <f>429922211/$C$34</f>
        <v>0.16069718787244977</v>
      </c>
      <c r="O8" s="2"/>
    </row>
    <row r="9" spans="1:18" x14ac:dyDescent="0.2">
      <c r="A9" s="12" t="s">
        <v>32</v>
      </c>
      <c r="B9" s="7" t="s">
        <v>33</v>
      </c>
      <c r="C9" s="35">
        <v>96964628.170000002</v>
      </c>
      <c r="D9" s="11">
        <f t="shared" si="0"/>
        <v>3.624363354889968E-2</v>
      </c>
      <c r="E9" s="66">
        <f>75573824/$C$34</f>
        <v>2.8248135785586229E-2</v>
      </c>
      <c r="F9" s="66">
        <f>2588886915/$C$34</f>
        <v>0.96767935295225282</v>
      </c>
      <c r="G9" s="88">
        <f>10909804/$C$34</f>
        <v>4.0778884602442741E-3</v>
      </c>
      <c r="H9" s="9" t="s">
        <v>15</v>
      </c>
      <c r="I9" s="10">
        <f>1963992430/$C$34</f>
        <v>0.73410503674530825</v>
      </c>
      <c r="J9" s="10">
        <f>711299021/$C$34</f>
        <v>0.26587077728609515</v>
      </c>
      <c r="K9" s="10">
        <f>642446246/$C$34</f>
        <v>0.24013484870036661</v>
      </c>
      <c r="L9" s="10">
        <f>456546246/$C$34</f>
        <v>0.17064877317055777</v>
      </c>
      <c r="M9" s="10">
        <f>931146246/$C$34</f>
        <v>0.34804571478673463</v>
      </c>
      <c r="N9" s="10">
        <f>645546246/$C$34</f>
        <v>0.24129357292921225</v>
      </c>
    </row>
    <row r="10" spans="1:18" x14ac:dyDescent="0.2">
      <c r="A10" s="15" t="s">
        <v>34</v>
      </c>
      <c r="B10" s="7" t="s">
        <v>35</v>
      </c>
      <c r="C10" s="36">
        <v>98970638.209999993</v>
      </c>
      <c r="D10" s="11">
        <f t="shared" si="0"/>
        <v>3.6993444012336979E-2</v>
      </c>
      <c r="E10" s="66">
        <f>44476629/$C$34</f>
        <v>1.6624563754735269E-2</v>
      </c>
      <c r="F10" s="66">
        <f>2428103799/$C$34</f>
        <v>0.90758151679144583</v>
      </c>
      <c r="G10" s="88">
        <f>202869009/$C$34</f>
        <v>7.5828785809744323E-2</v>
      </c>
      <c r="H10" s="9" t="s">
        <v>15</v>
      </c>
      <c r="I10" s="10">
        <f>1663002774/$C$34</f>
        <v>0.62160051834559238</v>
      </c>
      <c r="J10" s="10">
        <f>1012349244/$C$34</f>
        <v>0.37839793454076859</v>
      </c>
      <c r="K10" s="10">
        <f>2102173868/$C$34</f>
        <v>0.78575477228960944</v>
      </c>
      <c r="L10" s="10">
        <f>202173868/$C$34</f>
        <v>7.5568954610014005E-2</v>
      </c>
      <c r="M10" s="10">
        <f>302173868/$C$34</f>
        <v>0.11294715554051903</v>
      </c>
      <c r="N10" s="10">
        <f>68773868/$C$34</f>
        <v>2.5706434568720297E-2</v>
      </c>
    </row>
    <row r="11" spans="1:18" x14ac:dyDescent="0.2">
      <c r="A11" s="15" t="s">
        <v>13</v>
      </c>
      <c r="B11" s="7" t="s">
        <v>36</v>
      </c>
      <c r="C11" s="36">
        <v>12315880.92</v>
      </c>
      <c r="D11" s="11">
        <f t="shared" si="0"/>
        <v>4.6034547166393311E-3</v>
      </c>
      <c r="E11" s="66">
        <f>11435797/$C$11</f>
        <v>0.92854072512419195</v>
      </c>
      <c r="F11" s="89" t="s">
        <v>15</v>
      </c>
      <c r="G11" s="88">
        <f>880083/$C$11</f>
        <v>7.1459200175508025E-2</v>
      </c>
      <c r="H11" s="9" t="s">
        <v>15</v>
      </c>
      <c r="I11" s="10">
        <f>2244243555/$C$34</f>
        <v>0.83885786535780904</v>
      </c>
      <c r="J11" s="10">
        <f>430973182/$C$34</f>
        <v>0.1610900219245511</v>
      </c>
      <c r="K11" s="10">
        <f>281342746/$C$34</f>
        <v>0.10516085690328039</v>
      </c>
      <c r="L11" s="10">
        <f>353242746/$C$34</f>
        <v>0.1320357833723135</v>
      </c>
      <c r="M11" s="10">
        <f>81342746/$C$34</f>
        <v>3.040445504227034E-2</v>
      </c>
      <c r="N11" s="10">
        <f>1959342746/$C$34</f>
        <v>0.73236706851715472</v>
      </c>
    </row>
    <row r="12" spans="1:18" x14ac:dyDescent="0.2">
      <c r="A12" s="12" t="s">
        <v>37</v>
      </c>
      <c r="B12" s="7" t="s">
        <v>38</v>
      </c>
      <c r="C12" s="36">
        <v>2012764</v>
      </c>
      <c r="D12" s="11">
        <f t="shared" si="0"/>
        <v>7.5233497217687016E-4</v>
      </c>
      <c r="E12" s="66">
        <f>C12/$C$12</f>
        <v>1</v>
      </c>
      <c r="F12" s="89" t="s">
        <v>15</v>
      </c>
      <c r="G12" s="86" t="s">
        <v>15</v>
      </c>
      <c r="H12" s="9" t="s">
        <v>15</v>
      </c>
      <c r="I12" s="10">
        <f>2433700582/$C$34</f>
        <v>0.90967349358683025</v>
      </c>
      <c r="J12" s="10">
        <f>241708876/$C$34</f>
        <v>9.034642933814524E-2</v>
      </c>
      <c r="K12" s="10">
        <f>751012432/$C$34</f>
        <v>0.28071493584603241</v>
      </c>
      <c r="L12" s="10">
        <f>674762432/$C$34</f>
        <v>0.25221405763652233</v>
      </c>
      <c r="M12" s="10">
        <f>984762432/$C$34</f>
        <v>0.36808648052108789</v>
      </c>
      <c r="N12" s="10">
        <f>264762432/$C$34</f>
        <v>9.896343382145173E-2</v>
      </c>
    </row>
    <row r="13" spans="1:18" x14ac:dyDescent="0.2">
      <c r="A13" s="16" t="s">
        <v>39</v>
      </c>
      <c r="B13" s="7" t="s">
        <v>40</v>
      </c>
      <c r="C13" s="35">
        <v>207400683.59999999</v>
      </c>
      <c r="D13" s="11">
        <f t="shared" si="0"/>
        <v>7.7522644247248973E-2</v>
      </c>
      <c r="E13" s="89" t="s">
        <v>15</v>
      </c>
      <c r="F13" s="66">
        <f>C13/$C$13</f>
        <v>1</v>
      </c>
      <c r="G13" s="86" t="s">
        <v>15</v>
      </c>
      <c r="H13" s="9" t="s">
        <v>15</v>
      </c>
      <c r="I13" s="10">
        <f>2553159282/$C$34</f>
        <v>0.95432500650179941</v>
      </c>
      <c r="J13" s="10">
        <f>122199759/$C$34</f>
        <v>4.56760714556129E-2</v>
      </c>
      <c r="K13" s="66">
        <f>531205139/$C$34</f>
        <v>0.1985549242085885</v>
      </c>
      <c r="L13" s="10">
        <f>554567769/$C$34</f>
        <v>0.20728745499263895</v>
      </c>
      <c r="M13" s="10">
        <f>1011857582/$C$34</f>
        <v>0.37821416013050962</v>
      </c>
      <c r="N13" s="11">
        <f>577570191/$C$34</f>
        <v>0.21588534650668165</v>
      </c>
    </row>
    <row r="14" spans="1:18" x14ac:dyDescent="0.2">
      <c r="A14" s="6" t="s">
        <v>41</v>
      </c>
      <c r="B14" s="7" t="s">
        <v>42</v>
      </c>
      <c r="C14" s="35">
        <v>381759172.81999999</v>
      </c>
      <c r="D14" s="11">
        <f t="shared" si="0"/>
        <v>0.14269471068729353</v>
      </c>
      <c r="E14" s="89" t="s">
        <v>15</v>
      </c>
      <c r="F14" s="66">
        <f>C14/$C$14</f>
        <v>1</v>
      </c>
      <c r="G14" s="86" t="s">
        <v>15</v>
      </c>
      <c r="H14" s="9" t="s">
        <v>15</v>
      </c>
      <c r="I14" s="10">
        <f>2358275462/$C$34</f>
        <v>0.88148094068115568</v>
      </c>
      <c r="J14" s="10">
        <f>317095659/$C$34</f>
        <v>0.11852465256292904</v>
      </c>
      <c r="K14" s="66">
        <f>953263357/$C$34</f>
        <v>0.35631269297633744</v>
      </c>
      <c r="L14" s="10">
        <f>97278891/$C$34</f>
        <v>3.6361099340946966E-2</v>
      </c>
      <c r="M14" s="10">
        <f>438508745/$C$34</f>
        <v>0.16390667980393592</v>
      </c>
      <c r="N14" s="11">
        <f>1186290956/$C$34</f>
        <v>0.44341421715408896</v>
      </c>
    </row>
    <row r="15" spans="1:18" x14ac:dyDescent="0.2">
      <c r="A15" s="12" t="s">
        <v>43</v>
      </c>
      <c r="B15" s="7" t="s">
        <v>44</v>
      </c>
      <c r="C15" s="35">
        <v>116362219.81</v>
      </c>
      <c r="D15" s="11">
        <f t="shared" si="0"/>
        <v>4.349410432777772E-2</v>
      </c>
      <c r="E15" s="66">
        <f>68172312/$C$34</f>
        <v>2.5481583758330789E-2</v>
      </c>
      <c r="F15" s="66">
        <f>2568531226/$C$34</f>
        <v>0.96007076261704416</v>
      </c>
      <c r="G15" s="88">
        <f>38423358/$C$34</f>
        <v>1.4361959957487277E-2</v>
      </c>
      <c r="H15" s="9" t="s">
        <v>15</v>
      </c>
      <c r="I15" s="10">
        <f>2552998836/$C$34</f>
        <v>0.95426503467353441</v>
      </c>
      <c r="J15" s="10">
        <f>122365657/$C$34</f>
        <v>4.5738081143392589E-2</v>
      </c>
      <c r="K15" s="10">
        <f>1587590727/$C$34</f>
        <v>0.59341285189212545</v>
      </c>
      <c r="L15" s="10">
        <f>695990727/$C$34</f>
        <v>0.26014881239574267</v>
      </c>
      <c r="M15" s="10">
        <f>95990727/$C$34</f>
        <v>3.5879606812712538E-2</v>
      </c>
      <c r="N15" s="10">
        <f>295990727/$C$34</f>
        <v>0.11063600867372259</v>
      </c>
      <c r="O15" s="2"/>
    </row>
    <row r="16" spans="1:18" x14ac:dyDescent="0.2">
      <c r="A16" s="17" t="s">
        <v>46</v>
      </c>
      <c r="B16" s="7" t="s">
        <v>45</v>
      </c>
      <c r="C16" s="35">
        <v>15119861.92</v>
      </c>
      <c r="D16" s="11">
        <f t="shared" si="0"/>
        <v>5.6515323688725149E-3</v>
      </c>
      <c r="E16" s="66">
        <f>14882783/$C$16</f>
        <v>0.98432003405491419</v>
      </c>
      <c r="F16" s="89" t="s">
        <v>15</v>
      </c>
      <c r="G16" s="88">
        <f>197079/$C$16</f>
        <v>1.3034444430958136E-2</v>
      </c>
      <c r="H16" s="9" t="s">
        <v>15</v>
      </c>
      <c r="I16" s="10">
        <f>2194189792/$C$34</f>
        <v>0.82014866925039032</v>
      </c>
      <c r="J16" s="10">
        <f>481286023/$C$34</f>
        <v>0.17989605672737663</v>
      </c>
      <c r="K16" s="10">
        <f>1207450211/$C$34</f>
        <v>0.4513231660033869</v>
      </c>
      <c r="L16" s="10">
        <f>280850211/$C$34</f>
        <v>0.10497675618132732</v>
      </c>
      <c r="M16" s="10">
        <f>407450211/$C$34</f>
        <v>0.15229755855934668</v>
      </c>
      <c r="N16" s="10">
        <f>779650211/$C$34</f>
        <v>0.29141922242268636</v>
      </c>
    </row>
    <row r="17" spans="1:15" x14ac:dyDescent="0.2">
      <c r="A17" s="12" t="s">
        <v>47</v>
      </c>
      <c r="B17" s="7" t="s">
        <v>48</v>
      </c>
      <c r="C17" s="36">
        <v>215000471</v>
      </c>
      <c r="D17" s="11">
        <f t="shared" si="0"/>
        <v>8.0363308051912191E-2</v>
      </c>
      <c r="E17" s="89" t="s">
        <v>15</v>
      </c>
      <c r="F17" s="66">
        <f>C17/$C$17</f>
        <v>1</v>
      </c>
      <c r="G17" s="86" t="s">
        <v>15</v>
      </c>
      <c r="H17" s="9" t="s">
        <v>15</v>
      </c>
      <c r="I17" s="66">
        <f>2631368725/$C$34</f>
        <v>0.98355828925296818</v>
      </c>
      <c r="J17" s="66">
        <f>43912593/$C$34</f>
        <v>1.6413737245334886E-2</v>
      </c>
      <c r="K17" s="66">
        <f>116820033/$C$34</f>
        <v>4.3665226661822279E-2</v>
      </c>
      <c r="L17" s="66">
        <f>954094129/$C$34</f>
        <v>0.35662322060377183</v>
      </c>
      <c r="M17" s="66">
        <f>813532109/$C$34</f>
        <v>0.30408366633619516</v>
      </c>
      <c r="N17" s="90">
        <f>790701997/$C$34</f>
        <v>0.29555018120017579</v>
      </c>
    </row>
    <row r="18" spans="1:15" x14ac:dyDescent="0.2">
      <c r="A18" s="12" t="s">
        <v>49</v>
      </c>
      <c r="B18" s="7" t="s">
        <v>50</v>
      </c>
      <c r="C18" s="35">
        <v>60233805.299999997</v>
      </c>
      <c r="D18" s="11">
        <f t="shared" si="0"/>
        <v>2.2514312773123185E-2</v>
      </c>
      <c r="E18" s="89" t="s">
        <v>15</v>
      </c>
      <c r="F18" s="66">
        <f>C18/C18</f>
        <v>1</v>
      </c>
      <c r="G18" s="86" t="s">
        <v>15</v>
      </c>
      <c r="H18" s="9" t="s">
        <v>15</v>
      </c>
      <c r="I18" s="66">
        <f>2648568725/$C$34</f>
        <v>0.98998733981301512</v>
      </c>
      <c r="J18" s="66">
        <f>C118757/$C$34</f>
        <v>0</v>
      </c>
      <c r="K18" s="66">
        <f>875918319/$C$34</f>
        <v>0.32740250926292197</v>
      </c>
      <c r="L18" s="66" t="s">
        <v>15</v>
      </c>
      <c r="M18" s="66">
        <f>1799345486/$C$34</f>
        <v>0.67256297119105213</v>
      </c>
      <c r="N18" s="90" t="s">
        <v>15</v>
      </c>
      <c r="O18" s="1"/>
    </row>
    <row r="19" spans="1:15" x14ac:dyDescent="0.2">
      <c r="A19" s="17" t="s">
        <v>51</v>
      </c>
      <c r="B19" s="7" t="s">
        <v>52</v>
      </c>
      <c r="C19" s="35">
        <v>59982429.289999999</v>
      </c>
      <c r="D19" s="11">
        <f t="shared" si="0"/>
        <v>2.24203529430143E-2</v>
      </c>
      <c r="E19" s="89" t="s">
        <v>15</v>
      </c>
      <c r="F19" s="66">
        <f>C19/$C$19</f>
        <v>1</v>
      </c>
      <c r="G19" s="86" t="s">
        <v>15</v>
      </c>
      <c r="H19" s="9" t="s">
        <v>15</v>
      </c>
      <c r="I19" s="66">
        <f>C19/$C$19</f>
        <v>1</v>
      </c>
      <c r="J19" s="89" t="s">
        <v>15</v>
      </c>
      <c r="K19" s="66">
        <f>780566186/$C$34</f>
        <v>0.29176159739865959</v>
      </c>
      <c r="L19" s="66">
        <f>909553883/$C$34</f>
        <v>0.33997487795895059</v>
      </c>
      <c r="M19" s="66">
        <f>145978745/$C$34</f>
        <v>5.4564228621929556E-2</v>
      </c>
      <c r="N19" s="90">
        <f>839038064/$C$34</f>
        <v>0.31361733344533932</v>
      </c>
    </row>
    <row r="20" spans="1:15" x14ac:dyDescent="0.2">
      <c r="A20" s="6" t="s">
        <v>53</v>
      </c>
      <c r="B20" s="7" t="s">
        <v>54</v>
      </c>
      <c r="C20" s="35">
        <v>35353562.520000003</v>
      </c>
      <c r="D20" s="11">
        <f t="shared" si="0"/>
        <v>1.3214525634817316E-2</v>
      </c>
      <c r="E20" s="89" t="s">
        <v>15</v>
      </c>
      <c r="F20" s="66">
        <f>C20/$C$20</f>
        <v>1</v>
      </c>
      <c r="G20" s="86" t="s">
        <v>15</v>
      </c>
      <c r="H20" s="9" t="s">
        <v>15</v>
      </c>
      <c r="I20" s="66">
        <f>2660090215/$C$34</f>
        <v>0.99429386549540311</v>
      </c>
      <c r="J20" s="66">
        <f>5390347/$C$34</f>
        <v>2.0148147325114497E-3</v>
      </c>
      <c r="K20" s="66">
        <f>591620903/$C$34</f>
        <v>0.22113724987020822</v>
      </c>
      <c r="L20" s="66">
        <f>773464003/$C$34</f>
        <v>0.28910692916646741</v>
      </c>
      <c r="M20" s="66">
        <f>1019036467/$C$34</f>
        <v>0.38089749819037955</v>
      </c>
      <c r="N20" s="90">
        <f>291414188/$C$34</f>
        <v>0.10892538073063966</v>
      </c>
    </row>
    <row r="21" spans="1:15" x14ac:dyDescent="0.2">
      <c r="A21" s="18"/>
      <c r="B21" s="19"/>
      <c r="C21" s="37"/>
      <c r="D21" s="20"/>
      <c r="E21" s="21"/>
      <c r="F21" s="22"/>
      <c r="G21" s="22"/>
      <c r="H21" s="23"/>
      <c r="I21" s="24"/>
      <c r="J21" s="22"/>
      <c r="K21" s="21"/>
      <c r="L21" s="22"/>
      <c r="M21" s="22"/>
      <c r="N21" s="25"/>
    </row>
    <row r="22" spans="1:15" x14ac:dyDescent="0.2">
      <c r="A22" s="94" t="s">
        <v>16</v>
      </c>
      <c r="B22" s="95"/>
      <c r="C22" s="96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2"/>
    </row>
    <row r="23" spans="1:15" x14ac:dyDescent="0.2">
      <c r="A23" s="12" t="s">
        <v>30</v>
      </c>
      <c r="B23" s="7" t="s">
        <v>31</v>
      </c>
      <c r="C23" s="35">
        <v>50393816.399999999</v>
      </c>
      <c r="D23" s="38">
        <f t="shared" ref="D23:D32" si="1">C23/$C$34</f>
        <v>1.8836301950541794E-2</v>
      </c>
      <c r="E23" s="66" t="s">
        <v>15</v>
      </c>
      <c r="F23" s="66">
        <f>C23/$C$8</f>
        <v>1</v>
      </c>
      <c r="G23" s="86" t="s">
        <v>15</v>
      </c>
      <c r="H23" s="26" t="s">
        <v>15</v>
      </c>
      <c r="I23" s="66">
        <f>1976998077/$C$34</f>
        <v>0.73896631361328047</v>
      </c>
      <c r="J23" s="66">
        <f>698400738/$C$34</f>
        <v>0.26104963114976998</v>
      </c>
      <c r="K23" s="66">
        <f>468627693/$C$34</f>
        <v>0.17516460070553022</v>
      </c>
      <c r="L23" s="66">
        <f>553530282/$C$34</f>
        <v>0.2068996610171511</v>
      </c>
      <c r="M23" s="66">
        <f>1223108629/$C$34</f>
        <v>0.45717600094596522</v>
      </c>
      <c r="N23" s="90">
        <f>429922211/$C$34</f>
        <v>0.16069718787244977</v>
      </c>
      <c r="O23" s="2"/>
    </row>
    <row r="24" spans="1:15" x14ac:dyDescent="0.2">
      <c r="A24" s="12" t="s">
        <v>32</v>
      </c>
      <c r="B24" s="7" t="s">
        <v>33</v>
      </c>
      <c r="C24" s="36">
        <v>96964628.170000002</v>
      </c>
      <c r="D24" s="38">
        <f t="shared" si="1"/>
        <v>3.624363354889968E-2</v>
      </c>
      <c r="E24" s="66">
        <f>75573824/$C$34</f>
        <v>2.8248135785586229E-2</v>
      </c>
      <c r="F24" s="66">
        <f>2588886915/$C$34</f>
        <v>0.96767935295225282</v>
      </c>
      <c r="G24" s="88">
        <f>10909804/$C$34</f>
        <v>4.0778884602442741E-3</v>
      </c>
      <c r="H24" s="40" t="s">
        <v>15</v>
      </c>
      <c r="I24" s="10">
        <f>1963992430/$C$34</f>
        <v>0.73410503674530825</v>
      </c>
      <c r="J24" s="10">
        <f>711299021/$C$34</f>
        <v>0.26587077728609515</v>
      </c>
      <c r="K24" s="10">
        <f>642446246/$C$34</f>
        <v>0.24013484870036661</v>
      </c>
      <c r="L24" s="10">
        <f>456546246/$C$34</f>
        <v>0.17064877317055777</v>
      </c>
      <c r="M24" s="10">
        <f>931146246/$C$34</f>
        <v>0.34804571478673463</v>
      </c>
      <c r="N24" s="10">
        <f>645546246/$C$34</f>
        <v>0.24129357292921225</v>
      </c>
      <c r="O24" s="2"/>
    </row>
    <row r="25" spans="1:15" x14ac:dyDescent="0.2">
      <c r="A25" s="15" t="s">
        <v>34</v>
      </c>
      <c r="B25" s="7" t="s">
        <v>35</v>
      </c>
      <c r="C25" s="35">
        <v>98970638.209999993</v>
      </c>
      <c r="D25" s="38">
        <f t="shared" si="1"/>
        <v>3.6993444012336979E-2</v>
      </c>
      <c r="E25" s="66">
        <f>44476629/$C$34</f>
        <v>1.6624563754735269E-2</v>
      </c>
      <c r="F25" s="66">
        <f>2428103799/$C$34</f>
        <v>0.90758151679144583</v>
      </c>
      <c r="G25" s="88">
        <f>202869009/$C$34</f>
        <v>7.5828785809744323E-2</v>
      </c>
      <c r="H25" s="26" t="s">
        <v>15</v>
      </c>
      <c r="I25" s="10">
        <f>1663002774/$C$34</f>
        <v>0.62160051834559238</v>
      </c>
      <c r="J25" s="10">
        <f>1012349244/$C$34</f>
        <v>0.37839793454076859</v>
      </c>
      <c r="K25" s="10">
        <f>2102173868/$C$34</f>
        <v>0.78575477228960944</v>
      </c>
      <c r="L25" s="10">
        <f>202173868/$C$34</f>
        <v>7.5568954610014005E-2</v>
      </c>
      <c r="M25" s="10">
        <f>302173868/$C$34</f>
        <v>0.11294715554051903</v>
      </c>
      <c r="N25" s="10">
        <f>68773868/$C$34</f>
        <v>2.5706434568720297E-2</v>
      </c>
      <c r="O25" s="2"/>
    </row>
    <row r="26" spans="1:15" x14ac:dyDescent="0.2">
      <c r="A26" s="12" t="s">
        <v>39</v>
      </c>
      <c r="B26" s="7" t="s">
        <v>40</v>
      </c>
      <c r="C26" s="35">
        <v>207400683.59999999</v>
      </c>
      <c r="D26" s="38">
        <f t="shared" si="1"/>
        <v>7.7522644247248973E-2</v>
      </c>
      <c r="E26" s="89" t="s">
        <v>15</v>
      </c>
      <c r="F26" s="66">
        <f>C26/$C$13</f>
        <v>1</v>
      </c>
      <c r="G26" s="86" t="s">
        <v>15</v>
      </c>
      <c r="H26" s="26" t="s">
        <v>15</v>
      </c>
      <c r="I26" s="10">
        <f>2553159282/$C$34</f>
        <v>0.95432500650179941</v>
      </c>
      <c r="J26" s="10">
        <f>122199759/$C$34</f>
        <v>4.56760714556129E-2</v>
      </c>
      <c r="K26" s="66">
        <f>531205139/$C$34</f>
        <v>0.1985549242085885</v>
      </c>
      <c r="L26" s="10">
        <f>554567769/$C$34</f>
        <v>0.20728745499263895</v>
      </c>
      <c r="M26" s="10">
        <f>1011857582/$C$34</f>
        <v>0.37821416013050962</v>
      </c>
      <c r="N26" s="11">
        <f>577570191/$C$34</f>
        <v>0.21588534650668165</v>
      </c>
      <c r="O26" s="2"/>
    </row>
    <row r="27" spans="1:15" x14ac:dyDescent="0.2">
      <c r="A27" s="16" t="s">
        <v>41</v>
      </c>
      <c r="B27" s="7" t="s">
        <v>42</v>
      </c>
      <c r="C27" s="35">
        <v>381759172.81999999</v>
      </c>
      <c r="D27" s="38">
        <f t="shared" si="1"/>
        <v>0.14269471068729353</v>
      </c>
      <c r="E27" s="89" t="s">
        <v>15</v>
      </c>
      <c r="F27" s="66">
        <f>C27/$C$14</f>
        <v>1</v>
      </c>
      <c r="G27" s="86" t="s">
        <v>15</v>
      </c>
      <c r="H27" s="26" t="s">
        <v>15</v>
      </c>
      <c r="I27" s="10">
        <f>2358275462/$C$34</f>
        <v>0.88148094068115568</v>
      </c>
      <c r="J27" s="10">
        <f>317095659/$C$34</f>
        <v>0.11852465256292904</v>
      </c>
      <c r="K27" s="66">
        <f>953263357/$C$34</f>
        <v>0.35631269297633744</v>
      </c>
      <c r="L27" s="10">
        <f>97278891/$C$34</f>
        <v>3.6361099340946966E-2</v>
      </c>
      <c r="M27" s="10">
        <f>438508745/$C$34</f>
        <v>0.16390667980393592</v>
      </c>
      <c r="N27" s="11">
        <f>1186290956/$C$34</f>
        <v>0.44341421715408896</v>
      </c>
      <c r="O27" s="2"/>
    </row>
    <row r="28" spans="1:15" x14ac:dyDescent="0.2">
      <c r="A28" s="12" t="s">
        <v>43</v>
      </c>
      <c r="B28" s="7" t="s">
        <v>44</v>
      </c>
      <c r="C28" s="35">
        <v>116362219.81</v>
      </c>
      <c r="D28" s="38">
        <f t="shared" si="1"/>
        <v>4.349410432777772E-2</v>
      </c>
      <c r="E28" s="66">
        <f>68172312/C$34</f>
        <v>2.5481583758330789E-2</v>
      </c>
      <c r="F28" s="66">
        <f>2568531226/$C$34</f>
        <v>0.96007076261704416</v>
      </c>
      <c r="G28" s="88">
        <f>38423358/$C$34</f>
        <v>1.4361959957487277E-2</v>
      </c>
      <c r="H28" s="26" t="s">
        <v>15</v>
      </c>
      <c r="I28" s="10">
        <f>2552998836/$C$34</f>
        <v>0.95426503467353441</v>
      </c>
      <c r="J28" s="10">
        <f>122365657/$C$34</f>
        <v>4.5738081143392589E-2</v>
      </c>
      <c r="K28" s="10">
        <f>1587590727/$C$34</f>
        <v>0.59341285189212545</v>
      </c>
      <c r="L28" s="10">
        <f>695990727/$C$34</f>
        <v>0.26014881239574267</v>
      </c>
      <c r="M28" s="10">
        <f>95990727/$C$34</f>
        <v>3.5879606812712538E-2</v>
      </c>
      <c r="N28" s="10">
        <f>295990727/$C$34</f>
        <v>0.11063600867372259</v>
      </c>
      <c r="O28" s="2"/>
    </row>
    <row r="29" spans="1:15" x14ac:dyDescent="0.2">
      <c r="A29" s="12" t="s">
        <v>47</v>
      </c>
      <c r="B29" s="7" t="s">
        <v>48</v>
      </c>
      <c r="C29" s="36">
        <v>215000471</v>
      </c>
      <c r="D29" s="38">
        <f t="shared" si="1"/>
        <v>8.0363308051912191E-2</v>
      </c>
      <c r="E29" s="89" t="s">
        <v>15</v>
      </c>
      <c r="F29" s="66">
        <f>C29/$C$17</f>
        <v>1</v>
      </c>
      <c r="G29" s="86" t="s">
        <v>15</v>
      </c>
      <c r="H29" s="26" t="s">
        <v>15</v>
      </c>
      <c r="I29" s="66">
        <f>2631368725/$C$34</f>
        <v>0.98355828925296818</v>
      </c>
      <c r="J29" s="66">
        <f>43912593/$C$34</f>
        <v>1.6413737245334886E-2</v>
      </c>
      <c r="K29" s="66">
        <f>116820033/$C$34</f>
        <v>4.3665226661822279E-2</v>
      </c>
      <c r="L29" s="66">
        <f>954094129/$C$34</f>
        <v>0.35662322060377183</v>
      </c>
      <c r="M29" s="66">
        <f>813532109/$C$34</f>
        <v>0.30408366633619516</v>
      </c>
      <c r="N29" s="90">
        <f>790701997/$C$34</f>
        <v>0.29555018120017579</v>
      </c>
      <c r="O29" s="2"/>
    </row>
    <row r="30" spans="1:15" x14ac:dyDescent="0.2">
      <c r="A30" s="12" t="s">
        <v>49</v>
      </c>
      <c r="B30" s="7" t="s">
        <v>50</v>
      </c>
      <c r="C30" s="35">
        <v>60233805.299999997</v>
      </c>
      <c r="D30" s="38">
        <f t="shared" si="1"/>
        <v>2.2514312773123185E-2</v>
      </c>
      <c r="E30" s="89" t="s">
        <v>15</v>
      </c>
      <c r="F30" s="66">
        <f>C30/C30</f>
        <v>1</v>
      </c>
      <c r="G30" s="86" t="s">
        <v>15</v>
      </c>
      <c r="H30" s="26" t="s">
        <v>15</v>
      </c>
      <c r="I30" s="66">
        <f>2648568725/$C$34</f>
        <v>0.98998733981301512</v>
      </c>
      <c r="J30" s="66">
        <f>C118769/$C$34</f>
        <v>0</v>
      </c>
      <c r="K30" s="66">
        <f>875918319/$C$34</f>
        <v>0.32740250926292197</v>
      </c>
      <c r="L30" s="66" t="s">
        <v>15</v>
      </c>
      <c r="M30" s="66">
        <f>1799345486/$C$34</f>
        <v>0.67256297119105213</v>
      </c>
      <c r="N30" s="90" t="s">
        <v>15</v>
      </c>
      <c r="O30" s="2"/>
    </row>
    <row r="31" spans="1:15" x14ac:dyDescent="0.2">
      <c r="A31" s="17" t="s">
        <v>51</v>
      </c>
      <c r="B31" s="7" t="s">
        <v>52</v>
      </c>
      <c r="C31" s="35">
        <v>59982429.289999999</v>
      </c>
      <c r="D31" s="38">
        <f t="shared" si="1"/>
        <v>2.24203529430143E-2</v>
      </c>
      <c r="E31" s="89" t="s">
        <v>15</v>
      </c>
      <c r="F31" s="66">
        <f>C31/$C$19</f>
        <v>1</v>
      </c>
      <c r="G31" s="86" t="s">
        <v>15</v>
      </c>
      <c r="H31" s="26" t="s">
        <v>15</v>
      </c>
      <c r="I31" s="66">
        <f>C31/$C$19</f>
        <v>1</v>
      </c>
      <c r="J31" s="89" t="s">
        <v>15</v>
      </c>
      <c r="K31" s="66">
        <f>780566186/$C$34</f>
        <v>0.29176159739865959</v>
      </c>
      <c r="L31" s="66">
        <f>909553883/$C$34</f>
        <v>0.33997487795895059</v>
      </c>
      <c r="M31" s="66">
        <f>145978745/$C$34</f>
        <v>5.4564228621929556E-2</v>
      </c>
      <c r="N31" s="90">
        <f>839038064/$C$34</f>
        <v>0.31361733344533932</v>
      </c>
      <c r="O31" s="2"/>
    </row>
    <row r="32" spans="1:15" x14ac:dyDescent="0.2">
      <c r="A32" s="6" t="s">
        <v>53</v>
      </c>
      <c r="B32" s="7" t="s">
        <v>54</v>
      </c>
      <c r="C32" s="35">
        <v>35353562.520000003</v>
      </c>
      <c r="D32" s="38">
        <f t="shared" si="1"/>
        <v>1.3214525634817316E-2</v>
      </c>
      <c r="E32" s="89" t="s">
        <v>15</v>
      </c>
      <c r="F32" s="66">
        <f>C32/$C$20</f>
        <v>1</v>
      </c>
      <c r="G32" s="86" t="s">
        <v>15</v>
      </c>
      <c r="H32" s="26" t="s">
        <v>15</v>
      </c>
      <c r="I32" s="66">
        <f>2660090215/$C$34</f>
        <v>0.99429386549540311</v>
      </c>
      <c r="J32" s="66">
        <f>5390347/$C$34</f>
        <v>2.0148147325114497E-3</v>
      </c>
      <c r="K32" s="66">
        <f>591620903/$C$34</f>
        <v>0.22113724987020822</v>
      </c>
      <c r="L32" s="66">
        <f>773464003/$C$34</f>
        <v>0.28910692916646741</v>
      </c>
      <c r="M32" s="66">
        <f>1019036467/$C$34</f>
        <v>0.38089749819037955</v>
      </c>
      <c r="N32" s="90">
        <f>291414188/$C$34</f>
        <v>0.10892538073063966</v>
      </c>
      <c r="O32" s="2"/>
    </row>
    <row r="33" spans="1:15" x14ac:dyDescent="0.2">
      <c r="A33" s="18"/>
      <c r="B33" s="39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2"/>
    </row>
    <row r="34" spans="1:15" x14ac:dyDescent="0.2">
      <c r="A34" s="33"/>
      <c r="B34" s="3" t="s">
        <v>55</v>
      </c>
      <c r="C34" s="64">
        <f>SUM(C7:C20:C23:C32)</f>
        <v>2675356157.0799999</v>
      </c>
      <c r="D34" s="65">
        <f>SUM(D7:D20:D27:D32)</f>
        <v>1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5" x14ac:dyDescent="0.2">
      <c r="B35" s="1"/>
      <c r="C35" s="63"/>
    </row>
    <row r="42" spans="1:15" ht="16.5" customHeight="1" x14ac:dyDescent="0.2"/>
    <row r="54" ht="16.5" customHeight="1" x14ac:dyDescent="0.2"/>
    <row r="56" ht="31.5" customHeight="1" x14ac:dyDescent="0.2"/>
  </sheetData>
  <mergeCells count="14">
    <mergeCell ref="A4:B4"/>
    <mergeCell ref="C33:N33"/>
    <mergeCell ref="A22:N22"/>
    <mergeCell ref="O1:R1"/>
    <mergeCell ref="A1:N1"/>
    <mergeCell ref="A2:B2"/>
    <mergeCell ref="C2:D3"/>
    <mergeCell ref="E2:H2"/>
    <mergeCell ref="I2:J2"/>
    <mergeCell ref="K2:N2"/>
    <mergeCell ref="E3:H3"/>
    <mergeCell ref="I3:J3"/>
    <mergeCell ref="K3:N3"/>
    <mergeCell ref="A3:B3"/>
  </mergeCells>
  <pageMargins left="0.25" right="0.25" top="0.75" bottom="1" header="0.3" footer="0.3"/>
  <pageSetup paperSize="5" scale="75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8" sqref="N8"/>
    </sheetView>
  </sheetViews>
  <sheetFormatPr defaultRowHeight="12.75" x14ac:dyDescent="0.2"/>
  <cols>
    <col min="2" max="2" width="79" customWidth="1"/>
    <col min="3" max="3" width="14" bestFit="1" customWidth="1"/>
    <col min="4" max="4" width="10.140625" customWidth="1"/>
    <col min="14" max="14" width="11.7109375" customWidth="1"/>
  </cols>
  <sheetData>
    <row r="1" spans="1:14" ht="16.5" thickBo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98"/>
      <c r="B2" s="99"/>
      <c r="C2" s="61"/>
      <c r="D2" s="61"/>
      <c r="E2" s="112" t="s">
        <v>17</v>
      </c>
      <c r="F2" s="113"/>
      <c r="G2" s="113"/>
      <c r="H2" s="113"/>
      <c r="I2" s="113"/>
      <c r="J2" s="113"/>
      <c r="K2" s="114"/>
    </row>
    <row r="3" spans="1:14" ht="13.5" thickBot="1" x14ac:dyDescent="0.25">
      <c r="A3" s="98"/>
      <c r="B3" s="99"/>
      <c r="C3" s="61"/>
      <c r="D3" s="61"/>
      <c r="E3" s="106" t="s">
        <v>26</v>
      </c>
      <c r="F3" s="107"/>
      <c r="G3" s="107"/>
      <c r="H3" s="107"/>
      <c r="I3" s="107"/>
      <c r="J3" s="107"/>
      <c r="K3" s="108"/>
    </row>
    <row r="4" spans="1:14" ht="23.25" thickBot="1" x14ac:dyDescent="0.25">
      <c r="A4" s="110"/>
      <c r="B4" s="111"/>
      <c r="C4" s="60" t="s">
        <v>2</v>
      </c>
      <c r="D4" s="58" t="s">
        <v>14</v>
      </c>
      <c r="E4" s="46" t="s">
        <v>18</v>
      </c>
      <c r="F4" s="46" t="s">
        <v>24</v>
      </c>
      <c r="G4" s="43" t="s">
        <v>21</v>
      </c>
      <c r="H4" s="28" t="s">
        <v>22</v>
      </c>
      <c r="I4" s="48" t="s">
        <v>20</v>
      </c>
      <c r="J4" s="46" t="s">
        <v>19</v>
      </c>
      <c r="K4" s="48" t="s">
        <v>23</v>
      </c>
    </row>
    <row r="5" spans="1:14" ht="13.5" thickBot="1" x14ac:dyDescent="0.25">
      <c r="A5" s="29"/>
      <c r="B5" s="42"/>
      <c r="C5" s="61"/>
      <c r="D5" s="59"/>
      <c r="E5" s="47"/>
      <c r="F5" s="47"/>
      <c r="G5" s="44"/>
      <c r="H5" s="45"/>
      <c r="I5" s="49"/>
      <c r="J5" s="47"/>
      <c r="K5" s="50"/>
    </row>
    <row r="6" spans="1:14" ht="13.5" thickBot="1" x14ac:dyDescent="0.25">
      <c r="A6" s="4" t="s">
        <v>56</v>
      </c>
      <c r="B6" s="62"/>
      <c r="C6" s="54"/>
      <c r="D6" s="84"/>
      <c r="E6" s="85"/>
      <c r="F6" s="85"/>
      <c r="G6" s="85"/>
      <c r="H6" s="85"/>
      <c r="I6" s="85"/>
      <c r="J6" s="85"/>
      <c r="K6" s="85"/>
    </row>
    <row r="7" spans="1:14" x14ac:dyDescent="0.2">
      <c r="A7" s="6" t="s">
        <v>28</v>
      </c>
      <c r="B7" s="7" t="s">
        <v>29</v>
      </c>
      <c r="C7" s="80">
        <v>1064796</v>
      </c>
      <c r="D7" s="81">
        <f t="shared" ref="D7:D20" si="0">C7/$C$34</f>
        <v>3.980015883799803E-4</v>
      </c>
      <c r="E7" s="77">
        <f>999940450/$C$34</f>
        <v>0.37375975058639616</v>
      </c>
      <c r="F7" s="82">
        <f>623981792/$C$34</f>
        <v>0.23323316798352592</v>
      </c>
      <c r="G7" s="82">
        <f>4785992/$C$34</f>
        <v>1.7889177062778961E-3</v>
      </c>
      <c r="H7" s="83">
        <f>1208156/$C$34</f>
        <v>4.5158697723395231E-4</v>
      </c>
      <c r="I7" s="77">
        <f>371617/$C$34</f>
        <v>1.3890374895191484E-4</v>
      </c>
      <c r="J7" s="77">
        <f>119783/$C$34</f>
        <v>4.4772730420586832E-5</v>
      </c>
      <c r="K7" s="81">
        <f>10450/$C$34</f>
        <v>3.9060219972377753E-6</v>
      </c>
    </row>
    <row r="8" spans="1:14" x14ac:dyDescent="0.2">
      <c r="A8" s="12" t="s">
        <v>30</v>
      </c>
      <c r="B8" s="7" t="s">
        <v>31</v>
      </c>
      <c r="C8" s="35">
        <v>50393816.399999999</v>
      </c>
      <c r="D8" s="11">
        <f t="shared" si="0"/>
        <v>1.8836301950541794E-2</v>
      </c>
      <c r="E8" s="10">
        <f>50393816/$C$34</f>
        <v>1.8836301801028989E-2</v>
      </c>
      <c r="F8" s="10">
        <f>8935415/$C$34</f>
        <v>3.3398973726744855E-3</v>
      </c>
      <c r="G8" s="10">
        <f>10393816/$C$34</f>
        <v>3.8850214288269802E-3</v>
      </c>
      <c r="H8" s="10">
        <f>5393816/$C$34</f>
        <v>2.016111382301729E-3</v>
      </c>
      <c r="I8" s="10">
        <f>20393816/$C$34</f>
        <v>7.6228415218774822E-3</v>
      </c>
      <c r="J8" s="10">
        <f>103816/$C$34</f>
        <v>3.8804553078013099E-5</v>
      </c>
      <c r="K8" s="14">
        <f>14450/$C$34</f>
        <v>5.4011500344579762E-6</v>
      </c>
      <c r="L8" s="2"/>
    </row>
    <row r="9" spans="1:14" x14ac:dyDescent="0.2">
      <c r="A9" s="12" t="s">
        <v>32</v>
      </c>
      <c r="B9" s="7" t="s">
        <v>33</v>
      </c>
      <c r="C9" s="35">
        <v>96964628.170000002</v>
      </c>
      <c r="D9" s="11">
        <f t="shared" si="0"/>
        <v>3.624363354889968E-2</v>
      </c>
      <c r="E9" s="8">
        <f>2150199483/$C$34</f>
        <v>0.8037058831624202</v>
      </c>
      <c r="F9" s="10">
        <f>1002695727/$C$34</f>
        <v>0.37478962355964812</v>
      </c>
      <c r="G9" s="8">
        <f>258480927/$C$34</f>
        <v>9.6615520261092019E-2</v>
      </c>
      <c r="H9" s="8">
        <f>1143352326/$C$34</f>
        <v>0.42736452975588285</v>
      </c>
      <c r="I9" s="8">
        <f>711771060/$C$34</f>
        <v>0.26604721697198547</v>
      </c>
      <c r="J9" s="8">
        <f>129710939/$C$34</f>
        <v>4.8483615408264805E-2</v>
      </c>
      <c r="K9" s="13">
        <f>150199483/$C$34</f>
        <v>5.6141864552319738E-2</v>
      </c>
    </row>
    <row r="10" spans="1:14" x14ac:dyDescent="0.2">
      <c r="A10" s="15" t="s">
        <v>34</v>
      </c>
      <c r="B10" s="7" t="s">
        <v>35</v>
      </c>
      <c r="C10" s="36">
        <v>98970638.209999993</v>
      </c>
      <c r="D10" s="11">
        <f t="shared" si="0"/>
        <v>3.6993444012336979E-2</v>
      </c>
      <c r="E10" s="10">
        <f>1985520046/$C$34</f>
        <v>0.74215167230933576</v>
      </c>
      <c r="F10" s="10">
        <f>1812554890/$C$34</f>
        <v>0.67750040875989437</v>
      </c>
      <c r="G10" s="8">
        <f>2047614039/$C$34</f>
        <v>0.76536128977864948</v>
      </c>
      <c r="H10" s="10">
        <f>1605490628/$C$34</f>
        <v>0.600103512854267</v>
      </c>
      <c r="I10" s="10">
        <f>1007769337/$C$34</f>
        <v>0.37668604769987829</v>
      </c>
      <c r="J10" s="10">
        <f>110626542/$C$34</f>
        <v>4.1350211151229534E-2</v>
      </c>
      <c r="K10" s="11">
        <f>155520046/$C$34</f>
        <v>5.8130595281093843E-2</v>
      </c>
    </row>
    <row r="11" spans="1:14" x14ac:dyDescent="0.2">
      <c r="A11" s="15" t="s">
        <v>13</v>
      </c>
      <c r="B11" s="7" t="s">
        <v>36</v>
      </c>
      <c r="C11" s="36">
        <v>12315880.92</v>
      </c>
      <c r="D11" s="11">
        <f t="shared" si="0"/>
        <v>4.6034547166393311E-3</v>
      </c>
      <c r="E11" s="8">
        <f>1020314478/$C$34</f>
        <v>0.38137519570987349</v>
      </c>
      <c r="F11" s="10">
        <f>205957890/$C$34</f>
        <v>7.698335395642851E-2</v>
      </c>
      <c r="G11" s="8">
        <f>212975785/$C$34</f>
        <v>7.9606516850620382E-2</v>
      </c>
      <c r="H11" s="8">
        <f>242380525/$C$34</f>
        <v>9.0597479650912957E-2</v>
      </c>
      <c r="I11" s="8">
        <f>130014838/$C$34</f>
        <v>4.8597207387110597E-2</v>
      </c>
      <c r="J11" s="8">
        <f>31608389/$C$34</f>
        <v>1.1814647151315649E-2</v>
      </c>
      <c r="K11" s="13">
        <f>110314478/$C$34</f>
        <v>4.1233567242277759E-2</v>
      </c>
    </row>
    <row r="12" spans="1:14" x14ac:dyDescent="0.2">
      <c r="A12" s="12" t="s">
        <v>37</v>
      </c>
      <c r="B12" s="7" t="s">
        <v>38</v>
      </c>
      <c r="C12" s="36">
        <v>2012764</v>
      </c>
      <c r="D12" s="11">
        <f t="shared" si="0"/>
        <v>7.5233497217687016E-4</v>
      </c>
      <c r="E12" s="8">
        <f>2623674647/$C$34</f>
        <v>0.98068238131837837</v>
      </c>
      <c r="F12" s="10">
        <f>719874039/$C$34</f>
        <v>0.26907596474396211</v>
      </c>
      <c r="G12" s="8">
        <f>376795350/$C$34</f>
        <v>0.14083932301979968</v>
      </c>
      <c r="H12" s="8">
        <f>323007051/$C$34</f>
        <v>0.12073422454247884</v>
      </c>
      <c r="I12" s="8">
        <f>159847934/$C$34</f>
        <v>5.9748281953781054E-2</v>
      </c>
      <c r="J12" s="8">
        <f>158062220/$C$34</f>
        <v>5.9080814186816898E-2</v>
      </c>
      <c r="K12" s="13">
        <f>123674647/$C$34</f>
        <v>4.6227358055752801E-2</v>
      </c>
    </row>
    <row r="13" spans="1:14" x14ac:dyDescent="0.2">
      <c r="A13" s="16" t="s">
        <v>39</v>
      </c>
      <c r="B13" s="7" t="s">
        <v>40</v>
      </c>
      <c r="C13" s="35">
        <v>207400683.59999999</v>
      </c>
      <c r="D13" s="11">
        <f t="shared" si="0"/>
        <v>7.7522644247248973E-2</v>
      </c>
      <c r="E13" s="8">
        <f>207400683/$C$34</f>
        <v>7.7522644022979773E-2</v>
      </c>
      <c r="F13" s="10">
        <f>97126186/$C$34</f>
        <v>3.6304020959216039E-2</v>
      </c>
      <c r="G13" s="8">
        <f>107400683/$C$34</f>
        <v>4.0144443092474752E-2</v>
      </c>
      <c r="H13" s="10">
        <f>217400683/$C$34</f>
        <v>8.1260464116030273E-2</v>
      </c>
      <c r="I13" s="8">
        <f>27400683/$C$34</f>
        <v>1.0241882348070733E-2</v>
      </c>
      <c r="J13" s="8">
        <f>20400683/$C$34</f>
        <v>7.6254082829353802E-3</v>
      </c>
      <c r="K13" s="13">
        <f>114935615/$C$34</f>
        <v>4.2960865115411674E-2</v>
      </c>
    </row>
    <row r="14" spans="1:14" x14ac:dyDescent="0.2">
      <c r="A14" s="6" t="s">
        <v>41</v>
      </c>
      <c r="B14" s="7" t="s">
        <v>42</v>
      </c>
      <c r="C14" s="35">
        <v>381759172.81999999</v>
      </c>
      <c r="D14" s="11">
        <f t="shared" si="0"/>
        <v>0.14269471068729353</v>
      </c>
      <c r="E14" s="8">
        <f>784841951/$C$34</f>
        <v>0.29335980143167578</v>
      </c>
      <c r="F14" s="8">
        <f>349492653/$C$34</f>
        <v>0.1306340660756927</v>
      </c>
      <c r="G14" s="8">
        <f>284841951/$C$34</f>
        <v>0.10646879677915067</v>
      </c>
      <c r="H14" s="8">
        <f>184841951/$C$34</f>
        <v>6.9090595848645645E-2</v>
      </c>
      <c r="I14" s="8">
        <f>314841951/$C$34</f>
        <v>0.11768225705830217</v>
      </c>
      <c r="J14" s="8">
        <f>34532037/$C$34</f>
        <v>1.2907454175256339E-2</v>
      </c>
      <c r="K14" s="13">
        <f>184100426/$C$34</f>
        <v>6.8813427144195707E-2</v>
      </c>
    </row>
    <row r="15" spans="1:14" x14ac:dyDescent="0.2">
      <c r="A15" s="12" t="s">
        <v>43</v>
      </c>
      <c r="B15" s="7" t="s">
        <v>44</v>
      </c>
      <c r="C15" s="35">
        <v>116362219.81</v>
      </c>
      <c r="D15" s="11">
        <f t="shared" si="0"/>
        <v>4.349410432777772E-2</v>
      </c>
      <c r="E15" s="10">
        <f>2601770486/$C$34</f>
        <v>0.9724950000076571</v>
      </c>
      <c r="F15" s="10">
        <f>1073687917/$C$34</f>
        <v>0.40132522698281403</v>
      </c>
      <c r="G15" s="10">
        <f>1277462939/$C$34</f>
        <v>0.47749266415215486</v>
      </c>
      <c r="H15" s="10">
        <f>1731086285/$C$34</f>
        <v>0.64704890988771491</v>
      </c>
      <c r="I15" s="10">
        <f>341188649/$C$34</f>
        <v>0.12753017877529552</v>
      </c>
      <c r="J15" s="10">
        <f>151560634/$C$34</f>
        <v>5.6650638308067318E-2</v>
      </c>
      <c r="K15" s="14">
        <f>101770486/$C$34</f>
        <v>3.8039976745031484E-2</v>
      </c>
      <c r="L15" s="2"/>
    </row>
    <row r="16" spans="1:14" x14ac:dyDescent="0.2">
      <c r="A16" s="17" t="s">
        <v>46</v>
      </c>
      <c r="B16" s="7" t="s">
        <v>45</v>
      </c>
      <c r="C16" s="35">
        <v>15119861.92</v>
      </c>
      <c r="D16" s="11">
        <f t="shared" si="0"/>
        <v>5.6515323688725149E-3</v>
      </c>
      <c r="E16" s="10">
        <f>1940975309/$C$34</f>
        <v>0.72550165100951081</v>
      </c>
      <c r="F16" s="10">
        <f>1068280248/$C$34</f>
        <v>0.39930393759833738</v>
      </c>
      <c r="G16" s="10">
        <f>614028560/$C$34</f>
        <v>0.22951282892748662</v>
      </c>
      <c r="H16" s="10">
        <f>815162523/$C$34</f>
        <v>0.30469308575711423</v>
      </c>
      <c r="I16" s="10">
        <f>496495489/$C$34</f>
        <v>0.18558108148931346</v>
      </c>
      <c r="J16" s="10">
        <f>118116613/$C$34</f>
        <v>4.4149864939447017E-2</v>
      </c>
      <c r="K16" s="11">
        <f>110975309/$C$34</f>
        <v>4.1480573981268823E-2</v>
      </c>
    </row>
    <row r="17" spans="1:12" x14ac:dyDescent="0.2">
      <c r="A17" s="12" t="s">
        <v>47</v>
      </c>
      <c r="B17" s="7" t="s">
        <v>48</v>
      </c>
      <c r="C17" s="36">
        <v>215000471</v>
      </c>
      <c r="D17" s="11">
        <f t="shared" si="0"/>
        <v>8.0363308051912191E-2</v>
      </c>
      <c r="E17" s="10">
        <f>995048270/$C$34</f>
        <v>0.37193114171611413</v>
      </c>
      <c r="F17" s="8">
        <f>69926036/$C$34</f>
        <v>2.6137094238817278E-2</v>
      </c>
      <c r="G17" s="10">
        <f>355048270/$C$34</f>
        <v>0.13271065576088198</v>
      </c>
      <c r="H17" s="10">
        <f>295048270/$C$34</f>
        <v>0.11028373520257898</v>
      </c>
      <c r="I17" s="10">
        <f>455048270/$C$34</f>
        <v>0.17008885669138701</v>
      </c>
      <c r="J17" s="10">
        <f>15048270/$C$34</f>
        <v>5.6247725971649088E-3</v>
      </c>
      <c r="K17" s="11">
        <f>113846731/$C$34</f>
        <v>4.2553859865991556E-2</v>
      </c>
    </row>
    <row r="18" spans="1:12" x14ac:dyDescent="0.2">
      <c r="A18" s="12" t="s">
        <v>49</v>
      </c>
      <c r="B18" s="7" t="s">
        <v>50</v>
      </c>
      <c r="C18" s="35">
        <v>60233805.299999997</v>
      </c>
      <c r="D18" s="11">
        <f t="shared" si="0"/>
        <v>2.2514312773123185E-2</v>
      </c>
      <c r="E18" s="10">
        <f>82233805/$C$34</f>
        <v>3.0737516865699688E-2</v>
      </c>
      <c r="F18" s="8">
        <f>20115042/$C$34</f>
        <v>7.5186408160154766E-3</v>
      </c>
      <c r="G18" s="10">
        <f>40233805/$C$34</f>
        <v>1.5038672474887577E-2</v>
      </c>
      <c r="H18" s="10">
        <f>6233805/$C$34</f>
        <v>2.3300841585158689E-3</v>
      </c>
      <c r="I18" s="10">
        <f>633805/$C$34</f>
        <v>2.3690490640758738E-4</v>
      </c>
      <c r="J18" s="10">
        <f>10233805/$C$34</f>
        <v>3.8252121957360699E-3</v>
      </c>
      <c r="K18" s="11">
        <f>30233805/$C$34</f>
        <v>1.1300852381837074E-2</v>
      </c>
    </row>
    <row r="19" spans="1:12" x14ac:dyDescent="0.2">
      <c r="A19" s="17" t="s">
        <v>51</v>
      </c>
      <c r="B19" s="7" t="s">
        <v>52</v>
      </c>
      <c r="C19" s="35">
        <v>59982429.289999999</v>
      </c>
      <c r="D19" s="11">
        <f t="shared" si="0"/>
        <v>2.24203529430143E-2</v>
      </c>
      <c r="E19" s="8">
        <f>2499536881/$C$34</f>
        <v>0.93428191771225833</v>
      </c>
      <c r="F19" s="8">
        <f>760536881/$C$34</f>
        <v>0.28427500353077589</v>
      </c>
      <c r="G19" s="8">
        <f>560536881/$C$34</f>
        <v>0.20951860166976585</v>
      </c>
      <c r="H19" s="8">
        <f>410536881/$C$34</f>
        <v>0.1534513002740083</v>
      </c>
      <c r="I19" s="8">
        <f>260536881/$C$34</f>
        <v>9.7383998878250763E-2</v>
      </c>
      <c r="J19" s="8">
        <f>160536881/$C$34</f>
        <v>6.0005797947745743E-2</v>
      </c>
      <c r="K19" s="13">
        <f>60536881/$C$34</f>
        <v>2.2627597017240719E-2</v>
      </c>
    </row>
    <row r="20" spans="1:12" x14ac:dyDescent="0.2">
      <c r="A20" s="6" t="s">
        <v>53</v>
      </c>
      <c r="B20" s="7" t="s">
        <v>54</v>
      </c>
      <c r="C20" s="35">
        <v>35353562.520000003</v>
      </c>
      <c r="D20" s="11">
        <f t="shared" si="0"/>
        <v>1.3214525634817316E-2</v>
      </c>
      <c r="E20" s="8">
        <f>535535562/$C$34</f>
        <v>0.20017355841866932</v>
      </c>
      <c r="F20" s="8">
        <f>215535562/$C$34</f>
        <v>8.0563315441053232E-2</v>
      </c>
      <c r="G20" s="8">
        <f>335535562/$C$34</f>
        <v>0.12541715655765925</v>
      </c>
      <c r="H20" s="8">
        <f>435535562/$C$34</f>
        <v>0.16279535748816429</v>
      </c>
      <c r="I20" s="8">
        <f>475535562/$C$34</f>
        <v>0.17774663786036629</v>
      </c>
      <c r="J20" s="8">
        <f t="shared" ref="J20" si="1">35535562/$C$34</f>
        <v>1.3282553766144191E-2</v>
      </c>
      <c r="K20" s="13">
        <f>5535562/$C$34</f>
        <v>2.0690934869926824E-3</v>
      </c>
    </row>
    <row r="21" spans="1:12" ht="13.5" thickBot="1" x14ac:dyDescent="0.25">
      <c r="A21" s="67"/>
      <c r="B21" s="69"/>
      <c r="C21" s="72"/>
      <c r="D21" s="74"/>
      <c r="E21" s="75"/>
      <c r="F21" s="75"/>
      <c r="G21" s="75"/>
      <c r="H21" s="75"/>
      <c r="I21" s="75"/>
      <c r="J21" s="75"/>
      <c r="K21" s="45"/>
    </row>
    <row r="22" spans="1:12" ht="13.5" thickBot="1" x14ac:dyDescent="0.25">
      <c r="A22" s="70" t="s">
        <v>16</v>
      </c>
      <c r="B22" s="71"/>
      <c r="C22" s="37"/>
      <c r="D22" s="78"/>
      <c r="E22" s="79"/>
      <c r="F22" s="79"/>
      <c r="G22" s="79"/>
      <c r="H22" s="79"/>
      <c r="I22" s="79"/>
      <c r="J22" s="79"/>
      <c r="K22" s="79"/>
    </row>
    <row r="23" spans="1:12" x14ac:dyDescent="0.2">
      <c r="A23" s="68" t="s">
        <v>30</v>
      </c>
      <c r="B23" s="7" t="s">
        <v>31</v>
      </c>
      <c r="C23" s="73">
        <v>50393816.399999999</v>
      </c>
      <c r="D23" s="76">
        <f t="shared" ref="D23:D32" si="2">C23/$C$34</f>
        <v>1.8836301950541794E-2</v>
      </c>
      <c r="E23" s="10">
        <f>50393816/$C$34</f>
        <v>1.8836301801028989E-2</v>
      </c>
      <c r="F23" s="10">
        <f>8935415/$C$34</f>
        <v>3.3398973726744855E-3</v>
      </c>
      <c r="G23" s="10">
        <f>10393816/$C$34</f>
        <v>3.8850214288269802E-3</v>
      </c>
      <c r="H23" s="10">
        <f>5393816/$C$34</f>
        <v>2.016111382301729E-3</v>
      </c>
      <c r="I23" s="10">
        <f>20393816/$C$34</f>
        <v>7.6228415218774822E-3</v>
      </c>
      <c r="J23" s="10">
        <f>103816/$C$34</f>
        <v>3.8804553078013099E-5</v>
      </c>
      <c r="K23" s="14">
        <f>14450/$C$34</f>
        <v>5.4011500344579762E-6</v>
      </c>
      <c r="L23" s="2"/>
    </row>
    <row r="24" spans="1:12" x14ac:dyDescent="0.2">
      <c r="A24" s="12" t="s">
        <v>32</v>
      </c>
      <c r="B24" s="7" t="s">
        <v>33</v>
      </c>
      <c r="C24" s="36">
        <v>96964628.170000002</v>
      </c>
      <c r="D24" s="38">
        <f t="shared" si="2"/>
        <v>3.624363354889968E-2</v>
      </c>
      <c r="E24" s="8">
        <f>2150199483/$C$34</f>
        <v>0.8037058831624202</v>
      </c>
      <c r="F24" s="10">
        <f>1002695727/$C$34</f>
        <v>0.37478962355964812</v>
      </c>
      <c r="G24" s="8">
        <f>258480927/$C$34</f>
        <v>9.6615520261092019E-2</v>
      </c>
      <c r="H24" s="8">
        <f>1143352326/$C$34</f>
        <v>0.42736452975588285</v>
      </c>
      <c r="I24" s="8">
        <f>711771060/$C$34</f>
        <v>0.26604721697198547</v>
      </c>
      <c r="J24" s="8">
        <f>129710939/$C$34</f>
        <v>4.8483615408264805E-2</v>
      </c>
      <c r="K24" s="13">
        <f>150199483/$C$34</f>
        <v>5.6141864552319738E-2</v>
      </c>
    </row>
    <row r="25" spans="1:12" x14ac:dyDescent="0.2">
      <c r="A25" s="15" t="s">
        <v>34</v>
      </c>
      <c r="B25" s="7" t="s">
        <v>35</v>
      </c>
      <c r="C25" s="35">
        <v>98970638.209999993</v>
      </c>
      <c r="D25" s="38">
        <f t="shared" si="2"/>
        <v>3.6993444012336979E-2</v>
      </c>
      <c r="E25" s="10">
        <f>1985520046/$C$34</f>
        <v>0.74215167230933576</v>
      </c>
      <c r="F25" s="10">
        <f>1812554890/$C$34</f>
        <v>0.67750040875989437</v>
      </c>
      <c r="G25" s="8">
        <f>2047614039/$C$34</f>
        <v>0.76536128977864948</v>
      </c>
      <c r="H25" s="10">
        <f>1605490628/$C$34</f>
        <v>0.600103512854267</v>
      </c>
      <c r="I25" s="10">
        <f>1007769337/$C$34</f>
        <v>0.37668604769987829</v>
      </c>
      <c r="J25" s="10">
        <f>110626542/$C$34</f>
        <v>4.1350211151229534E-2</v>
      </c>
      <c r="K25" s="11">
        <f>155520046/$C$34</f>
        <v>5.8130595281093843E-2</v>
      </c>
    </row>
    <row r="26" spans="1:12" x14ac:dyDescent="0.2">
      <c r="A26" s="12" t="s">
        <v>39</v>
      </c>
      <c r="B26" s="7" t="s">
        <v>40</v>
      </c>
      <c r="C26" s="35">
        <v>207400683.59999999</v>
      </c>
      <c r="D26" s="38">
        <f t="shared" si="2"/>
        <v>7.7522644247248973E-2</v>
      </c>
      <c r="E26" s="8">
        <f>207400683/$C$34</f>
        <v>7.7522644022979773E-2</v>
      </c>
      <c r="F26" s="10">
        <f>97126186/$C$34</f>
        <v>3.6304020959216039E-2</v>
      </c>
      <c r="G26" s="8">
        <f>107400683/$C$34</f>
        <v>4.0144443092474752E-2</v>
      </c>
      <c r="H26" s="10">
        <f>217400683/$C$34</f>
        <v>8.1260464116030273E-2</v>
      </c>
      <c r="I26" s="8">
        <f>27400683/$C$34</f>
        <v>1.0241882348070733E-2</v>
      </c>
      <c r="J26" s="8">
        <f>20400683/$C$34</f>
        <v>7.6254082829353802E-3</v>
      </c>
      <c r="K26" s="13">
        <f>114935615/$C$34</f>
        <v>4.2960865115411674E-2</v>
      </c>
    </row>
    <row r="27" spans="1:12" x14ac:dyDescent="0.2">
      <c r="A27" s="16" t="s">
        <v>41</v>
      </c>
      <c r="B27" s="7" t="s">
        <v>42</v>
      </c>
      <c r="C27" s="35">
        <v>381759172.81999999</v>
      </c>
      <c r="D27" s="38">
        <f t="shared" si="2"/>
        <v>0.14269471068729353</v>
      </c>
      <c r="E27" s="8">
        <f>784841951/$C$34</f>
        <v>0.29335980143167578</v>
      </c>
      <c r="F27" s="8">
        <f>349492653/$C$34</f>
        <v>0.1306340660756927</v>
      </c>
      <c r="G27" s="8">
        <f>284841951/$C$34</f>
        <v>0.10646879677915067</v>
      </c>
      <c r="H27" s="8">
        <f>184841951/$C$34</f>
        <v>6.9090595848645645E-2</v>
      </c>
      <c r="I27" s="8">
        <f>314841951/$C$34</f>
        <v>0.11768225705830217</v>
      </c>
      <c r="J27" s="8">
        <f>34532037/$C$34</f>
        <v>1.2907454175256339E-2</v>
      </c>
      <c r="K27" s="13">
        <f>184100426/$C$34</f>
        <v>6.8813427144195707E-2</v>
      </c>
    </row>
    <row r="28" spans="1:12" x14ac:dyDescent="0.2">
      <c r="A28" s="12" t="s">
        <v>43</v>
      </c>
      <c r="B28" s="7" t="s">
        <v>44</v>
      </c>
      <c r="C28" s="35">
        <v>116362219.81</v>
      </c>
      <c r="D28" s="38">
        <f t="shared" si="2"/>
        <v>4.349410432777772E-2</v>
      </c>
      <c r="E28" s="10">
        <f>2601770486/$C$34</f>
        <v>0.9724950000076571</v>
      </c>
      <c r="F28" s="10">
        <f>1073687917/$C$34</f>
        <v>0.40132522698281403</v>
      </c>
      <c r="G28" s="10">
        <f>1277462939/$C$34</f>
        <v>0.47749266415215486</v>
      </c>
      <c r="H28" s="10">
        <f>1731086285/$C$34</f>
        <v>0.64704890988771491</v>
      </c>
      <c r="I28" s="10">
        <f>341188649/$C$34</f>
        <v>0.12753017877529552</v>
      </c>
      <c r="J28" s="10">
        <f>151560634/$C$34</f>
        <v>5.6650638308067318E-2</v>
      </c>
      <c r="K28" s="14">
        <f>101770486/$C$34</f>
        <v>3.8039976745031484E-2</v>
      </c>
      <c r="L28" s="2"/>
    </row>
    <row r="29" spans="1:12" x14ac:dyDescent="0.2">
      <c r="A29" s="12" t="s">
        <v>47</v>
      </c>
      <c r="B29" s="7" t="s">
        <v>48</v>
      </c>
      <c r="C29" s="36">
        <v>215000471</v>
      </c>
      <c r="D29" s="38">
        <f t="shared" si="2"/>
        <v>8.0363308051912191E-2</v>
      </c>
      <c r="E29" s="10">
        <f>995048270/$C$34</f>
        <v>0.37193114171611413</v>
      </c>
      <c r="F29" s="8">
        <f>69926036/$C$34</f>
        <v>2.6137094238817278E-2</v>
      </c>
      <c r="G29" s="10">
        <f>355048270/$C$34</f>
        <v>0.13271065576088198</v>
      </c>
      <c r="H29" s="10">
        <f>295048270/$C$34</f>
        <v>0.11028373520257898</v>
      </c>
      <c r="I29" s="10">
        <f>455048270/$C$34</f>
        <v>0.17008885669138701</v>
      </c>
      <c r="J29" s="10">
        <f>15048270/$C$34</f>
        <v>5.6247725971649088E-3</v>
      </c>
      <c r="K29" s="11">
        <f>113846731/$C$34</f>
        <v>4.2553859865991556E-2</v>
      </c>
    </row>
    <row r="30" spans="1:12" x14ac:dyDescent="0.2">
      <c r="A30" s="12" t="s">
        <v>49</v>
      </c>
      <c r="B30" s="7" t="s">
        <v>50</v>
      </c>
      <c r="C30" s="35">
        <v>60233805.299999997</v>
      </c>
      <c r="D30" s="38">
        <f t="shared" si="2"/>
        <v>2.2514312773123185E-2</v>
      </c>
      <c r="E30" s="10">
        <f>82233805/$C$34</f>
        <v>3.0737516865699688E-2</v>
      </c>
      <c r="F30" s="8">
        <f>20115042/$C$34</f>
        <v>7.5186408160154766E-3</v>
      </c>
      <c r="G30" s="10">
        <f>40233805/$C$34</f>
        <v>1.5038672474887577E-2</v>
      </c>
      <c r="H30" s="10">
        <f>6233805/$C$34</f>
        <v>2.3300841585158689E-3</v>
      </c>
      <c r="I30" s="10">
        <f>633805/$C$34</f>
        <v>2.3690490640758738E-4</v>
      </c>
      <c r="J30" s="10">
        <f>10233805/$C$34</f>
        <v>3.8252121957360699E-3</v>
      </c>
      <c r="K30" s="11">
        <f>30233805/$C$34</f>
        <v>1.1300852381837074E-2</v>
      </c>
    </row>
    <row r="31" spans="1:12" x14ac:dyDescent="0.2">
      <c r="A31" s="17" t="s">
        <v>51</v>
      </c>
      <c r="B31" s="7" t="s">
        <v>52</v>
      </c>
      <c r="C31" s="35">
        <v>59982429.289999999</v>
      </c>
      <c r="D31" s="38">
        <f t="shared" si="2"/>
        <v>2.24203529430143E-2</v>
      </c>
      <c r="E31" s="8">
        <f>2499536881/$C$34</f>
        <v>0.93428191771225833</v>
      </c>
      <c r="F31" s="8">
        <f>760536881/$C$34</f>
        <v>0.28427500353077589</v>
      </c>
      <c r="G31" s="8">
        <f>560536881/$C$34</f>
        <v>0.20951860166976585</v>
      </c>
      <c r="H31" s="8">
        <f>410536881/$C$34</f>
        <v>0.1534513002740083</v>
      </c>
      <c r="I31" s="8">
        <f>260536881/$C$34</f>
        <v>9.7383998878250763E-2</v>
      </c>
      <c r="J31" s="8">
        <f>160536881/$C$34</f>
        <v>6.0005797947745743E-2</v>
      </c>
      <c r="K31" s="13">
        <f>60536881/$C$34</f>
        <v>2.2627597017240719E-2</v>
      </c>
    </row>
    <row r="32" spans="1:12" x14ac:dyDescent="0.2">
      <c r="A32" s="6" t="s">
        <v>53</v>
      </c>
      <c r="B32" s="7" t="s">
        <v>54</v>
      </c>
      <c r="C32" s="35">
        <v>35353562.520000003</v>
      </c>
      <c r="D32" s="38">
        <f t="shared" si="2"/>
        <v>1.3214525634817316E-2</v>
      </c>
      <c r="E32" s="8">
        <f>535535562/$C$34</f>
        <v>0.20017355841866932</v>
      </c>
      <c r="F32" s="8">
        <f>215535562/$C$34</f>
        <v>8.0563315441053232E-2</v>
      </c>
      <c r="G32" s="8">
        <f>335535562/$C$34</f>
        <v>0.12541715655765925</v>
      </c>
      <c r="H32" s="8">
        <f>435535562/$C$34</f>
        <v>0.16279535748816429</v>
      </c>
      <c r="I32" s="8">
        <f>475535562/$C$34</f>
        <v>0.17774663786036629</v>
      </c>
      <c r="J32" s="8">
        <f t="shared" ref="J32" si="3">35535562/$C$34</f>
        <v>1.3282553766144191E-2</v>
      </c>
      <c r="K32" s="13">
        <f>5535562/$C$34</f>
        <v>2.0690934869926824E-3</v>
      </c>
    </row>
    <row r="33" spans="1:11" x14ac:dyDescent="0.2">
      <c r="A33" s="18"/>
      <c r="B33" s="39"/>
      <c r="C33" s="37"/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33"/>
      <c r="B34" s="3" t="s">
        <v>55</v>
      </c>
      <c r="C34" s="64">
        <f>SUM(C7:C20:C23:C32)</f>
        <v>2675356157.0799999</v>
      </c>
      <c r="D34" s="65">
        <f>SUM(D7:D20:D27:D32)</f>
        <v>1</v>
      </c>
    </row>
  </sheetData>
  <mergeCells count="6">
    <mergeCell ref="A1:N1"/>
    <mergeCell ref="A2:B2"/>
    <mergeCell ref="A4:B4"/>
    <mergeCell ref="E2:K2"/>
    <mergeCell ref="E3:K3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Standard Summary</vt:lpstr>
      <vt:lpstr>Small Business</vt:lpstr>
      <vt:lpstr>'Standard Summary'!Print_Area</vt:lpstr>
      <vt:lpstr>'Standard Summary'!Print_Titles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Brown, Curt - DM</cp:lastModifiedBy>
  <cp:lastPrinted>2015-02-06T17:08:30Z</cp:lastPrinted>
  <dcterms:created xsi:type="dcterms:W3CDTF">2010-07-26T17:11:06Z</dcterms:created>
  <dcterms:modified xsi:type="dcterms:W3CDTF">2015-02-12T19:06:06Z</dcterms:modified>
</cp:coreProperties>
</file>